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8600" windowHeight="10515" tabRatio="881"/>
  </bookViews>
  <sheets>
    <sheet name="Planet Finder" sheetId="2" r:id="rId1"/>
    <sheet name="Reference Temperatures" sheetId="3" r:id="rId2"/>
    <sheet name="Near-Earth Planet Statistics" sheetId="4" r:id="rId3"/>
    <sheet name="Calculations" sheetId="5" r:id="rId4"/>
    <sheet name="Star Sizes" sheetId="8" r:id="rId5"/>
    <sheet name="Hertzsprung-Russell" sheetId="9" r:id="rId6"/>
    <sheet name="About" sheetId="7" r:id="rId7"/>
  </sheets>
  <definedNames>
    <definedName name="activationID">'Planet Finder'!$E$27</definedName>
    <definedName name="albedo">'Planet Finder'!$E$20</definedName>
    <definedName name="daysToSeconds">Calculations!$G$34</definedName>
    <definedName name="dimming">'Planet Finder'!$E$5</definedName>
    <definedName name="earthAreaInKm2">Calculations!$G$21</definedName>
    <definedName name="earthDensityInGPerCc">Calculations!$D$33</definedName>
    <definedName name="earthMassInKg">Calculations!$G$25</definedName>
    <definedName name="earthRadiusInKm">Calculations!$G$17</definedName>
    <definedName name="earthSunDistanceInKm">Calculations!$D$5</definedName>
    <definedName name="earthVolumeInKm3">Calculations!$G$29</definedName>
    <definedName name="G">Calculations!$D$9</definedName>
    <definedName name="gPerCm3TokgPerKm3">Calculations!$G$32</definedName>
    <definedName name="gravitationalConstant">Calculations!$D$9</definedName>
    <definedName name="greenhouse">'Planet Finder'!$E$22</definedName>
    <definedName name="greenhouseConstant">Calculations!$D$8</definedName>
    <definedName name="isActivated">'Planet Finder'!$F$27</definedName>
    <definedName name="kgPerKm3TogPerCm3">Calculations!$G$33</definedName>
    <definedName name="OrbitalPeriodInDays">'Planet Finder'!$E$7</definedName>
    <definedName name="planetAreaInKm2">Calculations!$D$21</definedName>
    <definedName name="planetMassInKg">Calculations!$D$25</definedName>
    <definedName name="planetRadiusInEarths">'Planet Finder'!$E$17</definedName>
    <definedName name="planetRadiusInKm">Calculations!$D$17</definedName>
    <definedName name="planetStarDistanceInAU">'Planet Finder'!$E$14</definedName>
    <definedName name="planetStarDistanceInKm">Calculations!$D$10</definedName>
    <definedName name="planetVolumeInKm3">Calculations!$D$29</definedName>
    <definedName name="relativeLuminosity">Calculations!$G$13</definedName>
    <definedName name="secondsToDays">Calculations!$G$35</definedName>
    <definedName name="starAreaInKm2">Calculations!$D$20</definedName>
    <definedName name="starLuminosity">Calculations!$D$15</definedName>
    <definedName name="starMassInKg">Calculations!$D$24</definedName>
    <definedName name="starMassInSuns">'Planet Finder'!$E$12</definedName>
    <definedName name="starOverPlanetArea">Calculations!$D$22</definedName>
    <definedName name="starOverPlanetRadius">Calculations!$D$18</definedName>
    <definedName name="starOverPlanetVolume">Calculations!$D$30</definedName>
    <definedName name="starRadiusInKm">Calculations!$D$16</definedName>
    <definedName name="starRadiusInSuns">'Planet Finder'!$E$11</definedName>
    <definedName name="starTemperature">'Planet Finder'!$E$8</definedName>
    <definedName name="starVolumeInKm3">Calculations!$D$28</definedName>
    <definedName name="stefanBoltzmanConstant">Calculations!$D$6</definedName>
    <definedName name="sunAreaInKm2">Calculations!$G$20</definedName>
    <definedName name="sunDensityInGPerCc">Calculations!$D$32</definedName>
    <definedName name="sunLuminosity">Calculations!$G$15</definedName>
    <definedName name="sunMassInKg">Calculations!$G$24</definedName>
    <definedName name="sunOverEarthArea">Calculations!$G$22</definedName>
    <definedName name="sunOverEarthDensity">Calculations!$D$34</definedName>
    <definedName name="sunOverEarthMass">Calculations!$G$26</definedName>
    <definedName name="sunOverEarthRadius">Calculations!$G$18</definedName>
    <definedName name="sunOverEarthVolume">Calculations!$G$30</definedName>
    <definedName name="sunRadiusInKm">Calculations!$G$16</definedName>
    <definedName name="sunVolumeInKm3">Calculations!$G$28</definedName>
    <definedName name="tau">Calculations!$G$5</definedName>
    <definedName name="Teff">Calculations!$G$9</definedName>
    <definedName name="Teq">Calculations!$G$10</definedName>
    <definedName name="term1">Calculations!$G$7</definedName>
    <definedName name="Tsur">Calculations!$G$11</definedName>
    <definedName name="username">'Planet Finder'!$E$26</definedName>
    <definedName name="wattsToErgsPerSecond">Calculations!$G$36</definedName>
  </definedNames>
  <calcPr calcId="125725"/>
</workbook>
</file>

<file path=xl/calcChain.xml><?xml version="1.0" encoding="utf-8"?>
<calcChain xmlns="http://schemas.openxmlformats.org/spreadsheetml/2006/main">
  <c r="F19" i="9"/>
  <c r="D13" i="5"/>
  <c r="F27" i="2"/>
  <c r="E17" s="1"/>
  <c r="E18" l="1"/>
  <c r="G34" i="5"/>
  <c r="G35" s="1"/>
  <c r="G32"/>
  <c r="G33" s="1"/>
  <c r="G25"/>
  <c r="G24"/>
  <c r="G17"/>
  <c r="G29" s="1"/>
  <c r="G16"/>
  <c r="G28" s="1"/>
  <c r="D9"/>
  <c r="G5"/>
  <c r="D5"/>
  <c r="E12" i="2"/>
  <c r="D15" i="5" l="1"/>
  <c r="D16"/>
  <c r="G30"/>
  <c r="G26"/>
  <c r="D33"/>
  <c r="D34" s="1"/>
  <c r="E13" i="2"/>
  <c r="G18" i="5"/>
  <c r="G20"/>
  <c r="G21"/>
  <c r="D20"/>
  <c r="E14" i="2"/>
  <c r="D10" i="5" s="1"/>
  <c r="D28" l="1"/>
  <c r="G7"/>
  <c r="G9" s="1"/>
  <c r="G10" s="1"/>
  <c r="G11" s="1"/>
  <c r="H24" i="2" s="1"/>
  <c r="G13" i="5"/>
  <c r="F18" i="9" s="1"/>
  <c r="D24" i="5"/>
  <c r="G22"/>
  <c r="H26" i="2" l="1"/>
  <c r="H25"/>
  <c r="E6"/>
  <c r="D17" i="5"/>
  <c r="D18" s="1"/>
  <c r="D21" l="1"/>
  <c r="D22" s="1"/>
  <c r="D29"/>
  <c r="D25" l="1"/>
  <c r="E19" i="2" s="1"/>
  <c r="D30" i="5"/>
  <c r="D26" l="1"/>
</calcChain>
</file>

<file path=xl/sharedStrings.xml><?xml version="1.0" encoding="utf-8"?>
<sst xmlns="http://schemas.openxmlformats.org/spreadsheetml/2006/main" count="215" uniqueCount="154">
  <si>
    <t>Candidate Star</t>
  </si>
  <si>
    <t>Candidate Planet</t>
  </si>
  <si>
    <t>Mass</t>
  </si>
  <si>
    <t>AU</t>
  </si>
  <si>
    <t>0 to 500</t>
  </si>
  <si>
    <t>°K</t>
  </si>
  <si>
    <t>°C</t>
  </si>
  <si>
    <t>°F</t>
  </si>
  <si>
    <t>Reflectance</t>
  </si>
  <si>
    <t>stefanBoltzmanConstant</t>
  </si>
  <si>
    <t>greenhouseConstant</t>
  </si>
  <si>
    <t>tau</t>
  </si>
  <si>
    <t>term1</t>
  </si>
  <si>
    <t>src -wikipedia</t>
  </si>
  <si>
    <t>lvw 2010</t>
  </si>
  <si>
    <t>Solar Distance</t>
  </si>
  <si>
    <t>earth
years</t>
  </si>
  <si>
    <t>Orbital Period</t>
  </si>
  <si>
    <t>earth
masses</t>
  </si>
  <si>
    <t>earth
diam.</t>
  </si>
  <si>
    <t>Diameter</t>
  </si>
  <si>
    <t>Venus</t>
  </si>
  <si>
    <t>Earth</t>
  </si>
  <si>
    <t>Mars</t>
  </si>
  <si>
    <t>Planet</t>
  </si>
  <si>
    <t>Temperature</t>
  </si>
  <si>
    <t>earth
atm.</t>
  </si>
  <si>
    <t>Pressure</t>
  </si>
  <si>
    <t>%</t>
  </si>
  <si>
    <t>Argon</t>
  </si>
  <si>
    <t>Carbon Dioxide</t>
  </si>
  <si>
    <t>Nitrogen</t>
  </si>
  <si>
    <t>Oxygen</t>
  </si>
  <si>
    <t>Atmosphere</t>
  </si>
  <si>
    <t>Near-Earth Planet Statistics</t>
  </si>
  <si>
    <t>The Earth's rocky crust would melt</t>
  </si>
  <si>
    <t>Above</t>
  </si>
  <si>
    <t>Lead would melt</t>
  </si>
  <si>
    <t>The Earth's forests would burn up</t>
  </si>
  <si>
    <t>The Earth's oceans would boil away</t>
  </si>
  <si>
    <t>Water boils at sea level</t>
  </si>
  <si>
    <t xml:space="preserve"> and 100 °C   Water can exist as a liquid at sea level</t>
  </si>
  <si>
    <t>Between</t>
  </si>
  <si>
    <t>Water freezes at sea level</t>
  </si>
  <si>
    <t>At</t>
  </si>
  <si>
    <t>The Earth's oceans would freeze</t>
  </si>
  <si>
    <t>Below</t>
  </si>
  <si>
    <t>The carbon dioxide in the Earth's atmosphere would freeze</t>
  </si>
  <si>
    <t>The nitrogen in the Earth's atmosphere would freeze</t>
  </si>
  <si>
    <t>The oxygen in the Earth's atmosphere would freeze</t>
  </si>
  <si>
    <t>Reference Temperatures</t>
  </si>
  <si>
    <t>BACK</t>
  </si>
  <si>
    <t>km</t>
  </si>
  <si>
    <t>Earths</t>
  </si>
  <si>
    <t>g/cc</t>
  </si>
  <si>
    <t>planetStarDistance</t>
  </si>
  <si>
    <t>gravitationalConstant</t>
  </si>
  <si>
    <r>
      <t>T</t>
    </r>
    <r>
      <rPr>
        <vertAlign val="subscript"/>
        <sz val="10"/>
        <color rgb="FFFFFFCC"/>
        <rFont val="Verdana"/>
        <family val="2"/>
      </rPr>
      <t>eff</t>
    </r>
  </si>
  <si>
    <r>
      <t>T</t>
    </r>
    <r>
      <rPr>
        <vertAlign val="subscript"/>
        <sz val="10"/>
        <color rgb="FFFFFFCC"/>
        <rFont val="Verdana"/>
        <family val="2"/>
      </rPr>
      <t>eq</t>
    </r>
  </si>
  <si>
    <r>
      <t>T</t>
    </r>
    <r>
      <rPr>
        <vertAlign val="subscript"/>
        <sz val="10"/>
        <color rgb="FFFFFFCC"/>
        <rFont val="Verdana"/>
        <family val="2"/>
      </rPr>
      <t>sur</t>
    </r>
  </si>
  <si>
    <t>Earth Days</t>
  </si>
  <si>
    <t>sunOverEarthMass</t>
  </si>
  <si>
    <t>gPerCm3TokgPerKm3</t>
  </si>
  <si>
    <t>kgPerKm3TogPerCm3</t>
  </si>
  <si>
    <t>sunOverEarthVolume</t>
  </si>
  <si>
    <t>sunOverEarthDensity</t>
  </si>
  <si>
    <t>secondsToDays</t>
  </si>
  <si>
    <t>daysToSeconds</t>
  </si>
  <si>
    <t>Earth =</t>
  </si>
  <si>
    <t>Kepler Observation</t>
  </si>
  <si>
    <t>Venus =</t>
  </si>
  <si>
    <r>
      <t>Planet Finder</t>
    </r>
    <r>
      <rPr>
        <sz val="11"/>
        <color theme="1"/>
        <rFont val="Calibri"/>
        <family val="2"/>
      </rPr>
      <t>™ 1.0</t>
    </r>
  </si>
  <si>
    <t>About</t>
  </si>
  <si>
    <t>sunOverEarthArea</t>
  </si>
  <si>
    <t>starOverPlanetRadius</t>
  </si>
  <si>
    <t>starOverPlanetArea</t>
  </si>
  <si>
    <t>starRadiusInKm</t>
  </si>
  <si>
    <t>planetRadiusInKm</t>
  </si>
  <si>
    <t>earthRadiusInKm</t>
  </si>
  <si>
    <t>sunRadiusInKm</t>
  </si>
  <si>
    <t>sunMassInKg</t>
  </si>
  <si>
    <t>earthMassInKg</t>
  </si>
  <si>
    <t>earthSunDistanceInKm</t>
  </si>
  <si>
    <t>starAreaInKm2</t>
  </si>
  <si>
    <t>planetAreaInKm2</t>
  </si>
  <si>
    <t>Star Mass</t>
  </si>
  <si>
    <t>Star Lifetime</t>
  </si>
  <si>
    <t>Star-Planet Distance</t>
  </si>
  <si>
    <t>Planet Radius</t>
  </si>
  <si>
    <t>Planet Mass</t>
  </si>
  <si>
    <t>earthAreaInKm2</t>
  </si>
  <si>
    <t>sunAreaInKm2</t>
  </si>
  <si>
    <t>sunOverearthRadius</t>
  </si>
  <si>
    <t>sunVolumeInKm3</t>
  </si>
  <si>
    <t>earthVolumeInKm3</t>
  </si>
  <si>
    <t>sunDensityInGPerCc</t>
  </si>
  <si>
    <t>earthDensityInGPerCc</t>
  </si>
  <si>
    <t>starMassInKg</t>
  </si>
  <si>
    <t>planetMassInKg</t>
  </si>
  <si>
    <t>starOverPlanetMass</t>
  </si>
  <si>
    <t>starVolumeInKm3</t>
  </si>
  <si>
    <t>planetVolumeInKm3</t>
  </si>
  <si>
    <t>starOverPlanetVolume</t>
  </si>
  <si>
    <t>Earth Suns</t>
  </si>
  <si>
    <t>Earth Years</t>
  </si>
  <si>
    <t>• PlanetFinder was inspired by the PlanetHunters.org Project</t>
  </si>
  <si>
    <t>• Planet Finder uses surface temperature approximations from:</t>
  </si>
  <si>
    <t>by Glen Simonelli, Richard Durisen, John Roshek and Van Warren</t>
  </si>
  <si>
    <t>PlanetTemp Finder</t>
  </si>
  <si>
    <t>http://www.planethunters.org/classify</t>
  </si>
  <si>
    <t>http://www.physicsforums.com/showthread.php?t=278580</t>
  </si>
  <si>
    <t>http://adsabs.harvard.edu/full/1992NASCP3137..542S</t>
  </si>
  <si>
    <t>http://www.exceleverywhere.com/excel-server.htm</t>
  </si>
  <si>
    <t>http://en.wikipedia.org/wiki/Stefan%E2%80%93Boltzmann_constant</t>
  </si>
  <si>
    <t>http://www.atlasoftheuniverse.com/hr.html</t>
  </si>
  <si>
    <t>http://cas.sdss.org/dr5/en/proj/advanced/hr/</t>
  </si>
  <si>
    <t>http://www.calctool.org/CALC/phys/astronomy/planet_orbit</t>
  </si>
  <si>
    <t>http://www.astro.indiana.edu/~gsimonel/temperature1.html</t>
  </si>
  <si>
    <t>http://kepler.nasa.gov/Mission/discoveries/</t>
  </si>
  <si>
    <t>http://kepler.nasa.gov/</t>
  </si>
  <si>
    <t>http://en.wikipedia.org/wiki/Main_sequence</t>
  </si>
  <si>
    <t>http://archive.stsci.edu/kepler/publiclightcurves.html</t>
  </si>
  <si>
    <t>http://en.wikipedia.org/wiki/Orbital_period</t>
  </si>
  <si>
    <t>• References</t>
  </si>
  <si>
    <t>(open source)</t>
  </si>
  <si>
    <t>username</t>
  </si>
  <si>
    <t xml:space="preserve"> </t>
  </si>
  <si>
    <t>activation id</t>
  </si>
  <si>
    <t>Star Sizes</t>
  </si>
  <si>
    <t>Source</t>
  </si>
  <si>
    <t>Hertzsprung-Russell Diagram</t>
  </si>
  <si>
    <t>Enter Transit Dimming</t>
  </si>
  <si>
    <t>Enter Orbital Period</t>
  </si>
  <si>
    <t>Enter Star Radius</t>
  </si>
  <si>
    <t>Enter Bond Albedo</t>
  </si>
  <si>
    <t>Enter Greenhouse Effect</t>
  </si>
  <si>
    <t>sunLuminosity</t>
  </si>
  <si>
    <t>starLuminosity</t>
  </si>
  <si>
    <t>wattsToErgsPerSecond</t>
  </si>
  <si>
    <t>W</t>
  </si>
  <si>
    <t>kg</t>
  </si>
  <si>
    <r>
      <t>km</t>
    </r>
    <r>
      <rPr>
        <vertAlign val="superscript"/>
        <sz val="12"/>
        <color rgb="FFFFFFCC"/>
        <rFont val="Verdana"/>
        <family val="2"/>
      </rPr>
      <t>2</t>
    </r>
  </si>
  <si>
    <r>
      <t>km</t>
    </r>
    <r>
      <rPr>
        <vertAlign val="superscript"/>
        <sz val="12"/>
        <color rgb="FFFFFFCC"/>
        <rFont val="Verdana"/>
        <family val="2"/>
      </rPr>
      <t>3</t>
    </r>
  </si>
  <si>
    <r>
      <t>kW/(km</t>
    </r>
    <r>
      <rPr>
        <vertAlign val="superscript"/>
        <sz val="10"/>
        <color rgb="FFFFFFCC"/>
        <rFont val="Verdana"/>
        <family val="2"/>
      </rPr>
      <t>2</t>
    </r>
    <r>
      <rPr>
        <sz val="10"/>
        <color rgb="FFFFFFCC"/>
        <rFont val="Verdana"/>
        <family val="2"/>
      </rPr>
      <t xml:space="preserve"> · °K</t>
    </r>
    <r>
      <rPr>
        <vertAlign val="superscript"/>
        <sz val="10"/>
        <color rgb="FFFFFFCC"/>
        <rFont val="Verdana"/>
        <family val="2"/>
      </rPr>
      <t>4</t>
    </r>
    <r>
      <rPr>
        <sz val="10"/>
        <color rgb="FFFFFFCC"/>
        <rFont val="Verdana"/>
        <family val="2"/>
      </rPr>
      <t>)</t>
    </r>
  </si>
  <si>
    <r>
      <t>km</t>
    </r>
    <r>
      <rPr>
        <vertAlign val="superscript"/>
        <sz val="10"/>
        <color rgb="FFFFFFCC"/>
        <rFont val="Verdana"/>
        <family val="2"/>
      </rPr>
      <t>3</t>
    </r>
    <r>
      <rPr>
        <sz val="10"/>
        <color rgb="FFFFFFCC"/>
        <rFont val="Verdana"/>
        <family val="2"/>
      </rPr>
      <t>/(kg · s</t>
    </r>
    <r>
      <rPr>
        <vertAlign val="superscript"/>
        <sz val="10"/>
        <color rgb="FFFFFFCC"/>
        <rFont val="Verdana"/>
        <family val="2"/>
      </rPr>
      <t>2</t>
    </r>
    <r>
      <rPr>
        <sz val="10"/>
        <color rgb="FFFFFFCC"/>
        <rFont val="Verdana"/>
        <family val="2"/>
      </rPr>
      <t>)</t>
    </r>
  </si>
  <si>
    <t>relativeLuminosity</t>
  </si>
  <si>
    <t>starTemperature</t>
  </si>
  <si>
    <t>Enter Star Temperature</t>
  </si>
  <si>
    <t>Candidate Star Luminosity</t>
  </si>
  <si>
    <t>Calculations</t>
  </si>
  <si>
    <t>src -Glen Simonelli</t>
  </si>
  <si>
    <t>Planet Gravity</t>
  </si>
  <si>
    <t>your activation id here</t>
  </si>
  <si>
    <t>your name here</t>
  </si>
</sst>
</file>

<file path=xl/styles.xml><?xml version="1.0" encoding="utf-8"?>
<styleSheet xmlns="http://schemas.openxmlformats.org/spreadsheetml/2006/main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E+00"/>
    <numFmt numFmtId="167" formatCode="0.000"/>
    <numFmt numFmtId="168" formatCode="0.00000E+00"/>
    <numFmt numFmtId="169" formatCode="0.0000000"/>
    <numFmt numFmtId="170" formatCode="0.0000"/>
    <numFmt numFmtId="171" formatCode="0.000000E+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FFCC"/>
      <name val="Verdana"/>
      <family val="2"/>
    </font>
    <font>
      <sz val="10"/>
      <color theme="1" tint="0.499984740745262"/>
      <name val="Verdana"/>
      <family val="2"/>
    </font>
    <font>
      <sz val="14"/>
      <color rgb="FFFFFF99"/>
      <name val="Calibri"/>
      <family val="2"/>
      <scheme val="minor"/>
    </font>
    <font>
      <u/>
      <sz val="20"/>
      <color rgb="FFFFFF99"/>
      <name val="Calibri"/>
      <family val="2"/>
      <scheme val="minor"/>
    </font>
    <font>
      <u/>
      <sz val="11"/>
      <color theme="10"/>
      <name val="Calibri"/>
      <family val="2"/>
    </font>
    <font>
      <u/>
      <sz val="14"/>
      <color rgb="FFFFFF99"/>
      <name val="Calibri"/>
      <family val="2"/>
    </font>
    <font>
      <sz val="10"/>
      <color theme="1"/>
      <name val="Verdana"/>
      <family val="2"/>
    </font>
    <font>
      <vertAlign val="subscript"/>
      <sz val="10"/>
      <color rgb="FFFFFFCC"/>
      <name val="Verdana"/>
      <family val="2"/>
    </font>
    <font>
      <u/>
      <sz val="11"/>
      <color rgb="FFFFFFCC"/>
      <name val="Calibri"/>
      <family val="2"/>
    </font>
    <font>
      <u/>
      <sz val="10"/>
      <color rgb="FFFFFFCC"/>
      <name val="Verdana"/>
      <family val="2"/>
    </font>
    <font>
      <sz val="11"/>
      <color theme="1"/>
      <name val="Verdana"/>
      <family val="2"/>
    </font>
    <font>
      <sz val="11"/>
      <color theme="1"/>
      <name val="Calibri"/>
      <family val="2"/>
    </font>
    <font>
      <u/>
      <sz val="10"/>
      <color theme="1"/>
      <name val="Verdana"/>
      <family val="2"/>
    </font>
    <font>
      <sz val="11"/>
      <color rgb="FFFFFFCC"/>
      <name val="Calibri"/>
      <family val="2"/>
      <scheme val="minor"/>
    </font>
    <font>
      <u/>
      <sz val="11"/>
      <color theme="1"/>
      <name val="Calibri"/>
      <family val="2"/>
    </font>
    <font>
      <u/>
      <sz val="14"/>
      <color rgb="FFFFFFCC"/>
      <name val="Calibri"/>
      <family val="2"/>
    </font>
    <font>
      <u/>
      <sz val="12"/>
      <color rgb="FFFFFF99"/>
      <name val="Calibri"/>
      <family val="2"/>
      <scheme val="minor"/>
    </font>
    <font>
      <sz val="12"/>
      <color rgb="FFFFFF99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B0F0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vertAlign val="superscript"/>
      <sz val="10"/>
      <color rgb="FFFFFFCC"/>
      <name val="Verdana"/>
      <family val="2"/>
    </font>
    <font>
      <u/>
      <sz val="14"/>
      <color rgb="FFFFFFCC"/>
      <name val="Verdana"/>
      <family val="2"/>
    </font>
    <font>
      <sz val="11"/>
      <color rgb="FFFFFFCC"/>
      <name val="Verdana"/>
      <family val="2"/>
    </font>
    <font>
      <vertAlign val="superscript"/>
      <sz val="12"/>
      <color rgb="FFFFFFCC"/>
      <name val="Verdana"/>
      <family val="2"/>
    </font>
    <font>
      <u/>
      <sz val="14"/>
      <color rgb="FFFFFF99"/>
      <name val="Calibri"/>
      <family val="2"/>
      <scheme val="minor"/>
    </font>
    <font>
      <u/>
      <sz val="14"/>
      <color rgb="FFFFFFCC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CC99"/>
        <bgColor indexed="64"/>
      </patternFill>
    </fill>
    <fill>
      <patternFill patternType="solid">
        <fgColor theme="1" tint="0.499984740745262"/>
        <bgColor indexed="64"/>
      </patternFill>
    </fill>
  </fills>
  <borders count="20">
    <border>
      <left/>
      <right/>
      <top/>
      <bottom/>
      <diagonal/>
    </border>
    <border>
      <left style="thin">
        <color rgb="FF99CC99"/>
      </left>
      <right style="thin">
        <color rgb="FF99CC99"/>
      </right>
      <top style="thin">
        <color rgb="FF99CC99"/>
      </top>
      <bottom style="thin">
        <color rgb="FF99CC99"/>
      </bottom>
      <diagonal/>
    </border>
    <border>
      <left style="thin">
        <color rgb="FF99CC99"/>
      </left>
      <right style="thin">
        <color rgb="FF99CC99"/>
      </right>
      <top/>
      <bottom style="thin">
        <color rgb="FF99CC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2D592D"/>
      </left>
      <right/>
      <top style="medium">
        <color rgb="FF2D592D"/>
      </top>
      <bottom/>
      <diagonal/>
    </border>
    <border>
      <left/>
      <right/>
      <top style="medium">
        <color rgb="FF2D592D"/>
      </top>
      <bottom/>
      <diagonal/>
    </border>
    <border>
      <left/>
      <right style="medium">
        <color rgb="FF2D592D"/>
      </right>
      <top style="medium">
        <color rgb="FF2D592D"/>
      </top>
      <bottom/>
      <diagonal/>
    </border>
    <border>
      <left style="medium">
        <color rgb="FF2D592D"/>
      </left>
      <right/>
      <top/>
      <bottom/>
      <diagonal/>
    </border>
    <border>
      <left/>
      <right style="medium">
        <color rgb="FF2D592D"/>
      </right>
      <top/>
      <bottom/>
      <diagonal/>
    </border>
    <border>
      <left style="medium">
        <color rgb="FF2D592D"/>
      </left>
      <right/>
      <top/>
      <bottom style="medium">
        <color rgb="FF2D592D"/>
      </bottom>
      <diagonal/>
    </border>
    <border>
      <left/>
      <right/>
      <top/>
      <bottom style="medium">
        <color rgb="FF2D592D"/>
      </bottom>
      <diagonal/>
    </border>
    <border>
      <left/>
      <right style="medium">
        <color rgb="FF2D592D"/>
      </right>
      <top/>
      <bottom style="medium">
        <color rgb="FF2D592D"/>
      </bottom>
      <diagonal/>
    </border>
    <border>
      <left style="thin">
        <color rgb="FF2D592D"/>
      </left>
      <right/>
      <top style="thin">
        <color rgb="FF2D592D"/>
      </top>
      <bottom/>
      <diagonal/>
    </border>
    <border>
      <left/>
      <right/>
      <top style="thin">
        <color rgb="FF2D592D"/>
      </top>
      <bottom/>
      <diagonal/>
    </border>
    <border>
      <left/>
      <right style="thin">
        <color rgb="FF2D592D"/>
      </right>
      <top style="thin">
        <color rgb="FF2D592D"/>
      </top>
      <bottom/>
      <diagonal/>
    </border>
    <border>
      <left style="thin">
        <color rgb="FF2D592D"/>
      </left>
      <right/>
      <top/>
      <bottom/>
      <diagonal/>
    </border>
    <border>
      <left/>
      <right style="thin">
        <color rgb="FF2D592D"/>
      </right>
      <top/>
      <bottom/>
      <diagonal/>
    </border>
    <border>
      <left style="thin">
        <color rgb="FF2D592D"/>
      </left>
      <right/>
      <top/>
      <bottom style="thin">
        <color rgb="FF2D592D"/>
      </bottom>
      <diagonal/>
    </border>
    <border>
      <left/>
      <right/>
      <top/>
      <bottom style="thin">
        <color rgb="FF2D592D"/>
      </bottom>
      <diagonal/>
    </border>
    <border>
      <left/>
      <right style="thin">
        <color rgb="FF2D592D"/>
      </right>
      <top/>
      <bottom style="thin">
        <color rgb="FF2D592D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3" borderId="0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center"/>
    </xf>
    <xf numFmtId="0" fontId="2" fillId="3" borderId="0" xfId="0" applyFont="1" applyFill="1" applyBorder="1" applyProtection="1"/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Border="1"/>
    <xf numFmtId="0" fontId="8" fillId="0" borderId="0" xfId="0" applyFont="1" applyProtection="1"/>
    <xf numFmtId="0" fontId="8" fillId="0" borderId="0" xfId="0" applyFont="1"/>
    <xf numFmtId="0" fontId="8" fillId="3" borderId="0" xfId="0" applyFont="1" applyFill="1" applyBorder="1" applyProtection="1"/>
    <xf numFmtId="0" fontId="8" fillId="3" borderId="0" xfId="0" applyFont="1" applyFill="1" applyBorder="1" applyAlignment="1" applyProtection="1">
      <alignment horizontal="right"/>
    </xf>
    <xf numFmtId="0" fontId="8" fillId="3" borderId="0" xfId="0" applyFont="1" applyFill="1" applyBorder="1" applyAlignment="1" applyProtection="1">
      <alignment horizontal="center"/>
    </xf>
    <xf numFmtId="0" fontId="8" fillId="3" borderId="0" xfId="0" applyFont="1" applyFill="1" applyBorder="1" applyAlignment="1" applyProtection="1">
      <alignment horizontal="left"/>
    </xf>
    <xf numFmtId="9" fontId="8" fillId="2" borderId="1" xfId="2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right"/>
    </xf>
    <xf numFmtId="169" fontId="3" fillId="3" borderId="0" xfId="0" applyNumberFormat="1" applyFont="1" applyFill="1" applyBorder="1" applyAlignment="1" applyProtection="1">
      <alignment horizontal="center"/>
    </xf>
    <xf numFmtId="2" fontId="2" fillId="3" borderId="0" xfId="0" applyNumberFormat="1" applyFont="1" applyFill="1" applyBorder="1" applyAlignment="1" applyProtection="1">
      <alignment horizontal="center" vertical="center"/>
    </xf>
    <xf numFmtId="2" fontId="8" fillId="2" borderId="2" xfId="0" applyNumberFormat="1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center"/>
    </xf>
    <xf numFmtId="1" fontId="8" fillId="2" borderId="1" xfId="0" applyNumberFormat="1" applyFont="1" applyFill="1" applyBorder="1" applyAlignment="1" applyProtection="1">
      <alignment horizontal="center" vertical="center"/>
      <protection locked="0"/>
    </xf>
    <xf numFmtId="9" fontId="3" fillId="3" borderId="0" xfId="0" applyNumberFormat="1" applyFont="1" applyFill="1" applyBorder="1" applyAlignment="1" applyProtection="1">
      <alignment horizontal="center"/>
    </xf>
    <xf numFmtId="169" fontId="8" fillId="2" borderId="3" xfId="0" applyNumberFormat="1" applyFont="1" applyFill="1" applyBorder="1" applyAlignment="1" applyProtection="1">
      <alignment horizontal="center" vertical="center"/>
      <protection locked="0"/>
    </xf>
    <xf numFmtId="2" fontId="8" fillId="2" borderId="3" xfId="0" applyNumberFormat="1" applyFont="1" applyFill="1" applyBorder="1" applyAlignment="1" applyProtection="1">
      <alignment horizontal="center" vertical="center"/>
      <protection locked="0"/>
    </xf>
    <xf numFmtId="3" fontId="2" fillId="3" borderId="0" xfId="1" applyNumberFormat="1" applyFont="1" applyFill="1" applyBorder="1" applyAlignment="1" applyProtection="1">
      <alignment horizontal="center" vertical="center"/>
    </xf>
    <xf numFmtId="2" fontId="2" fillId="3" borderId="0" xfId="1" applyNumberFormat="1" applyFont="1" applyFill="1" applyBorder="1" applyAlignment="1" applyProtection="1">
      <alignment horizontal="center" vertical="center"/>
    </xf>
    <xf numFmtId="170" fontId="2" fillId="3" borderId="0" xfId="0" applyNumberFormat="1" applyFont="1" applyFill="1" applyBorder="1" applyAlignment="1" applyProtection="1">
      <alignment horizontal="center" vertical="center"/>
    </xf>
    <xf numFmtId="0" fontId="17" fillId="3" borderId="0" xfId="3" applyFont="1" applyFill="1" applyAlignment="1" applyProtection="1"/>
    <xf numFmtId="0" fontId="8" fillId="4" borderId="4" xfId="0" applyFont="1" applyFill="1" applyBorder="1" applyProtection="1"/>
    <xf numFmtId="0" fontId="8" fillId="4" borderId="5" xfId="0" applyFont="1" applyFill="1" applyBorder="1" applyProtection="1"/>
    <xf numFmtId="0" fontId="12" fillId="4" borderId="5" xfId="0" applyFont="1" applyFill="1" applyBorder="1" applyAlignment="1" applyProtection="1">
      <alignment horizontal="right"/>
    </xf>
    <xf numFmtId="0" fontId="8" fillId="4" borderId="5" xfId="0" applyFont="1" applyFill="1" applyBorder="1" applyAlignment="1" applyProtection="1">
      <alignment horizontal="center"/>
    </xf>
    <xf numFmtId="0" fontId="8" fillId="4" borderId="5" xfId="0" applyFont="1" applyFill="1" applyBorder="1" applyAlignment="1" applyProtection="1">
      <alignment horizontal="left"/>
    </xf>
    <xf numFmtId="0" fontId="16" fillId="4" borderId="5" xfId="3" applyFont="1" applyFill="1" applyBorder="1" applyAlignment="1" applyProtection="1">
      <alignment horizontal="center"/>
    </xf>
    <xf numFmtId="0" fontId="8" fillId="4" borderId="6" xfId="0" applyFont="1" applyFill="1" applyBorder="1" applyProtection="1"/>
    <xf numFmtId="0" fontId="8" fillId="4" borderId="7" xfId="0" applyFont="1" applyFill="1" applyBorder="1" applyProtection="1"/>
    <xf numFmtId="0" fontId="8" fillId="4" borderId="8" xfId="0" applyFont="1" applyFill="1" applyBorder="1" applyProtection="1"/>
    <xf numFmtId="0" fontId="8" fillId="4" borderId="9" xfId="0" applyFont="1" applyFill="1" applyBorder="1" applyProtection="1"/>
    <xf numFmtId="0" fontId="8" fillId="4" borderId="10" xfId="0" applyFont="1" applyFill="1" applyBorder="1" applyProtection="1"/>
    <xf numFmtId="0" fontId="14" fillId="4" borderId="10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center"/>
    </xf>
    <xf numFmtId="0" fontId="8" fillId="4" borderId="11" xfId="0" applyFont="1" applyFill="1" applyBorder="1" applyAlignment="1" applyProtection="1">
      <alignment horizontal="center"/>
    </xf>
    <xf numFmtId="0" fontId="0" fillId="3" borderId="0" xfId="0" applyFill="1" applyBorder="1" applyProtection="1"/>
    <xf numFmtId="0" fontId="17" fillId="3" borderId="0" xfId="3" applyFont="1" applyFill="1" applyBorder="1" applyAlignment="1" applyProtection="1">
      <alignment horizontal="left"/>
    </xf>
    <xf numFmtId="0" fontId="0" fillId="0" borderId="3" xfId="0" applyFill="1" applyBorder="1" applyAlignment="1" applyProtection="1">
      <alignment horizontal="center"/>
      <protection locked="0"/>
    </xf>
    <xf numFmtId="0" fontId="8" fillId="3" borderId="0" xfId="0" applyFont="1" applyFill="1" applyBorder="1" applyAlignment="1" applyProtection="1">
      <alignment horizontal="left"/>
      <protection hidden="1"/>
    </xf>
    <xf numFmtId="0" fontId="0" fillId="5" borderId="3" xfId="0" applyFill="1" applyBorder="1" applyAlignment="1" applyProtection="1">
      <alignment horizontal="center"/>
      <protection locked="0"/>
    </xf>
    <xf numFmtId="0" fontId="8" fillId="4" borderId="0" xfId="0" applyFont="1" applyFill="1" applyBorder="1" applyProtection="1"/>
    <xf numFmtId="0" fontId="14" fillId="4" borderId="0" xfId="0" applyFont="1" applyFill="1" applyBorder="1" applyAlignment="1" applyProtection="1">
      <alignment horizontal="left"/>
    </xf>
    <xf numFmtId="0" fontId="8" fillId="4" borderId="0" xfId="0" applyFont="1" applyFill="1" applyBorder="1" applyAlignment="1" applyProtection="1">
      <alignment horizontal="center"/>
    </xf>
    <xf numFmtId="0" fontId="14" fillId="4" borderId="0" xfId="0" applyFont="1" applyFill="1" applyBorder="1" applyAlignment="1" applyProtection="1">
      <alignment horizontal="right"/>
    </xf>
    <xf numFmtId="0" fontId="8" fillId="4" borderId="8" xfId="0" applyFont="1" applyFill="1" applyBorder="1" applyAlignment="1" applyProtection="1">
      <alignment horizontal="center"/>
    </xf>
    <xf numFmtId="0" fontId="6" fillId="0" borderId="0" xfId="3" applyAlignment="1" applyProtection="1"/>
    <xf numFmtId="49" fontId="2" fillId="3" borderId="0" xfId="1" applyNumberFormat="1" applyFont="1" applyFill="1" applyProtection="1"/>
    <xf numFmtId="0" fontId="15" fillId="0" borderId="0" xfId="0" applyFont="1"/>
    <xf numFmtId="0" fontId="15" fillId="0" borderId="0" xfId="0" applyFont="1" applyAlignment="1">
      <alignment horizontal="right"/>
    </xf>
    <xf numFmtId="165" fontId="15" fillId="0" borderId="0" xfId="0" applyNumberFormat="1" applyFont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0" fillId="3" borderId="0" xfId="0" applyFill="1" applyBorder="1"/>
    <xf numFmtId="0" fontId="0" fillId="4" borderId="16" xfId="0" applyFill="1" applyBorder="1"/>
    <xf numFmtId="0" fontId="5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19" fillId="3" borderId="0" xfId="0" applyFont="1" applyFill="1" applyBorder="1"/>
    <xf numFmtId="0" fontId="18" fillId="3" borderId="0" xfId="0" applyFont="1" applyFill="1" applyBorder="1" applyAlignment="1">
      <alignment horizontal="center"/>
    </xf>
    <xf numFmtId="0" fontId="20" fillId="3" borderId="0" xfId="0" applyFont="1" applyFill="1" applyBorder="1"/>
    <xf numFmtId="0" fontId="19" fillId="3" borderId="0" xfId="0" applyFont="1" applyFill="1" applyBorder="1" applyAlignment="1">
      <alignment horizontal="center" vertical="center"/>
    </xf>
    <xf numFmtId="1" fontId="21" fillId="3" borderId="0" xfId="0" applyNumberFormat="1" applyFont="1" applyFill="1" applyBorder="1" applyAlignment="1">
      <alignment horizontal="center" vertical="center"/>
    </xf>
    <xf numFmtId="1" fontId="19" fillId="3" borderId="0" xfId="0" applyNumberFormat="1" applyFont="1" applyFill="1" applyBorder="1" applyAlignment="1">
      <alignment horizontal="center" vertical="center"/>
    </xf>
    <xf numFmtId="1" fontId="22" fillId="3" borderId="0" xfId="0" applyNumberFormat="1" applyFont="1" applyFill="1" applyBorder="1" applyAlignment="1">
      <alignment horizontal="center" vertical="center"/>
    </xf>
    <xf numFmtId="1" fontId="23" fillId="3" borderId="0" xfId="0" applyNumberFormat="1" applyFont="1" applyFill="1" applyBorder="1" applyAlignment="1">
      <alignment horizontal="center" vertical="center"/>
    </xf>
    <xf numFmtId="0" fontId="19" fillId="3" borderId="0" xfId="0" quotePrefix="1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vertical="center"/>
    </xf>
    <xf numFmtId="167" fontId="21" fillId="3" borderId="0" xfId="0" applyNumberFormat="1" applyFont="1" applyFill="1" applyBorder="1" applyAlignment="1">
      <alignment horizontal="center" vertical="center"/>
    </xf>
    <xf numFmtId="165" fontId="22" fillId="3" borderId="0" xfId="0" applyNumberFormat="1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vertical="center"/>
    </xf>
    <xf numFmtId="0" fontId="19" fillId="3" borderId="0" xfId="0" applyFont="1" applyFill="1" applyBorder="1" applyAlignment="1">
      <alignment horizontal="right"/>
    </xf>
    <xf numFmtId="0" fontId="19" fillId="3" borderId="0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center"/>
    </xf>
    <xf numFmtId="0" fontId="22" fillId="3" borderId="0" xfId="0" applyFont="1" applyFill="1" applyBorder="1" applyAlignment="1">
      <alignment horizontal="center"/>
    </xf>
    <xf numFmtId="0" fontId="23" fillId="3" borderId="0" xfId="0" applyFont="1" applyFill="1" applyBorder="1" applyAlignment="1">
      <alignment horizontal="center"/>
    </xf>
    <xf numFmtId="2" fontId="21" fillId="3" borderId="0" xfId="0" applyNumberFormat="1" applyFont="1" applyFill="1" applyBorder="1" applyAlignment="1">
      <alignment horizontal="center" vertical="center"/>
    </xf>
    <xf numFmtId="2" fontId="19" fillId="3" borderId="0" xfId="0" applyNumberFormat="1" applyFont="1" applyFill="1" applyBorder="1" applyAlignment="1">
      <alignment horizontal="center" vertical="center"/>
    </xf>
    <xf numFmtId="2" fontId="22" fillId="3" borderId="0" xfId="0" applyNumberFormat="1" applyFont="1" applyFill="1" applyBorder="1" applyAlignment="1">
      <alignment horizontal="center" vertical="center"/>
    </xf>
    <xf numFmtId="2" fontId="23" fillId="3" borderId="0" xfId="0" applyNumberFormat="1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24" fillId="3" borderId="0" xfId="0" applyFont="1" applyFill="1" applyBorder="1"/>
    <xf numFmtId="0" fontId="26" fillId="3" borderId="0" xfId="3" applyFont="1" applyFill="1" applyBorder="1" applyAlignment="1" applyProtection="1"/>
    <xf numFmtId="0" fontId="12" fillId="3" borderId="0" xfId="0" applyFont="1" applyFill="1" applyBorder="1"/>
    <xf numFmtId="164" fontId="2" fillId="3" borderId="0" xfId="1" applyNumberFormat="1" applyFont="1" applyFill="1" applyBorder="1" applyProtection="1"/>
    <xf numFmtId="49" fontId="2" fillId="3" borderId="0" xfId="1" applyNumberFormat="1" applyFont="1" applyFill="1" applyBorder="1" applyProtection="1"/>
    <xf numFmtId="166" fontId="2" fillId="3" borderId="0" xfId="0" applyNumberFormat="1" applyFont="1" applyFill="1" applyBorder="1" applyProtection="1"/>
    <xf numFmtId="168" fontId="2" fillId="3" borderId="0" xfId="0" applyNumberFormat="1" applyFont="1" applyFill="1" applyBorder="1" applyProtection="1"/>
    <xf numFmtId="2" fontId="2" fillId="3" borderId="0" xfId="0" applyNumberFormat="1" applyFont="1" applyFill="1" applyBorder="1" applyProtection="1"/>
    <xf numFmtId="11" fontId="2" fillId="3" borderId="0" xfId="1" applyNumberFormat="1" applyFont="1" applyFill="1" applyBorder="1" applyProtection="1"/>
    <xf numFmtId="1" fontId="2" fillId="3" borderId="0" xfId="0" applyNumberFormat="1" applyFont="1" applyFill="1" applyBorder="1" applyProtection="1"/>
    <xf numFmtId="165" fontId="2" fillId="3" borderId="0" xfId="0" applyNumberFormat="1" applyFont="1" applyFill="1" applyBorder="1" applyProtection="1"/>
    <xf numFmtId="49" fontId="27" fillId="3" borderId="0" xfId="0" applyNumberFormat="1" applyFont="1" applyFill="1" applyBorder="1"/>
    <xf numFmtId="171" fontId="2" fillId="3" borderId="0" xfId="1" applyNumberFormat="1" applyFont="1" applyFill="1" applyBorder="1" applyProtection="1"/>
    <xf numFmtId="164" fontId="27" fillId="3" borderId="0" xfId="1" applyNumberFormat="1" applyFont="1" applyFill="1" applyBorder="1"/>
    <xf numFmtId="166" fontId="2" fillId="3" borderId="0" xfId="1" applyNumberFormat="1" applyFont="1" applyFill="1" applyBorder="1" applyProtection="1"/>
    <xf numFmtId="166" fontId="2" fillId="3" borderId="0" xfId="0" applyNumberFormat="1" applyFont="1" applyFill="1" applyBorder="1" applyAlignment="1" applyProtection="1">
      <alignment horizontal="right"/>
    </xf>
    <xf numFmtId="43" fontId="2" fillId="3" borderId="0" xfId="1" applyNumberFormat="1" applyFont="1" applyFill="1" applyBorder="1" applyProtection="1"/>
    <xf numFmtId="0" fontId="29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left"/>
    </xf>
    <xf numFmtId="0" fontId="14" fillId="4" borderId="10" xfId="0" applyFont="1" applyFill="1" applyBorder="1" applyAlignment="1" applyProtection="1">
      <alignment horizontal="center"/>
    </xf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0" fillId="3" borderId="0" xfId="0" applyFont="1" applyFill="1" applyBorder="1" applyAlignment="1">
      <alignment horizontal="left"/>
    </xf>
    <xf numFmtId="1" fontId="8" fillId="2" borderId="2" xfId="0" applyNumberFormat="1" applyFont="1" applyFill="1" applyBorder="1" applyAlignment="1" applyProtection="1">
      <alignment horizontal="center" vertical="center"/>
      <protection locked="0"/>
    </xf>
    <xf numFmtId="0" fontId="15" fillId="3" borderId="0" xfId="0" applyFont="1" applyFill="1" applyBorder="1"/>
    <xf numFmtId="0" fontId="10" fillId="3" borderId="0" xfId="3" applyFont="1" applyFill="1" applyBorder="1" applyAlignment="1" applyProtection="1"/>
    <xf numFmtId="0" fontId="15" fillId="3" borderId="0" xfId="0" applyFont="1" applyFill="1" applyBorder="1" applyAlignment="1">
      <alignment horizontal="left"/>
    </xf>
    <xf numFmtId="0" fontId="17" fillId="3" borderId="0" xfId="3" applyFont="1" applyFill="1" applyBorder="1" applyAlignment="1" applyProtection="1"/>
    <xf numFmtId="167" fontId="2" fillId="3" borderId="0" xfId="1" applyNumberFormat="1" applyFont="1" applyFill="1" applyBorder="1" applyAlignment="1" applyProtection="1">
      <alignment horizontal="center" vertical="center"/>
    </xf>
    <xf numFmtId="1" fontId="2" fillId="3" borderId="0" xfId="1" applyNumberFormat="1" applyFont="1" applyFill="1" applyBorder="1" applyAlignment="1" applyProtection="1">
      <alignment horizontal="center"/>
    </xf>
    <xf numFmtId="0" fontId="15" fillId="0" borderId="3" xfId="0" applyFont="1" applyFill="1" applyBorder="1" applyAlignment="1" applyProtection="1">
      <alignment horizontal="right"/>
    </xf>
    <xf numFmtId="0" fontId="0" fillId="5" borderId="3" xfId="0" applyFont="1" applyFill="1" applyBorder="1" applyAlignment="1" applyProtection="1">
      <alignment horizontal="right"/>
    </xf>
    <xf numFmtId="0" fontId="7" fillId="3" borderId="0" xfId="3" applyFont="1" applyFill="1" applyBorder="1" applyAlignment="1" applyProtection="1">
      <alignment horizontal="left"/>
    </xf>
    <xf numFmtId="0" fontId="17" fillId="3" borderId="0" xfId="3" applyFont="1" applyFill="1" applyBorder="1" applyAlignment="1" applyProtection="1">
      <alignment horizontal="left"/>
    </xf>
    <xf numFmtId="0" fontId="14" fillId="4" borderId="10" xfId="0" applyFont="1" applyFill="1" applyBorder="1" applyAlignment="1" applyProtection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"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2D592D"/>
      <color rgb="FF99CC99"/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15</xdr:row>
      <xdr:rowOff>171450</xdr:rowOff>
    </xdr:from>
    <xdr:to>
      <xdr:col>7</xdr:col>
      <xdr:colOff>200025</xdr:colOff>
      <xdr:row>21</xdr:row>
      <xdr:rowOff>171450</xdr:rowOff>
    </xdr:to>
    <xdr:pic>
      <xdr:nvPicPr>
        <xdr:cNvPr id="5" name="Picture 4" descr="plane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86400" y="2847975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8</xdr:row>
      <xdr:rowOff>180975</xdr:rowOff>
    </xdr:from>
    <xdr:to>
      <xdr:col>7</xdr:col>
      <xdr:colOff>238125</xdr:colOff>
      <xdr:row>14</xdr:row>
      <xdr:rowOff>180975</xdr:rowOff>
    </xdr:to>
    <xdr:pic>
      <xdr:nvPicPr>
        <xdr:cNvPr id="3" name="Picture 2" descr="star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24500" y="1524000"/>
          <a:ext cx="1143000" cy="1143000"/>
        </a:xfrm>
        <a:prstGeom prst="rect">
          <a:avLst/>
        </a:prstGeom>
      </xdr:spPr>
    </xdr:pic>
    <xdr:clientData/>
  </xdr:twoCellAnchor>
  <xdr:twoCellAnchor>
    <xdr:from>
      <xdr:col>6</xdr:col>
      <xdr:colOff>605790</xdr:colOff>
      <xdr:row>12</xdr:row>
      <xdr:rowOff>161925</xdr:rowOff>
    </xdr:from>
    <xdr:to>
      <xdr:col>6</xdr:col>
      <xdr:colOff>651510</xdr:colOff>
      <xdr:row>13</xdr:row>
      <xdr:rowOff>17145</xdr:rowOff>
    </xdr:to>
    <xdr:sp macro="" textlink="">
      <xdr:nvSpPr>
        <xdr:cNvPr id="4" name="Oval 3"/>
        <xdr:cNvSpPr/>
      </xdr:nvSpPr>
      <xdr:spPr>
        <a:xfrm flipV="1">
          <a:off x="6035040" y="2266950"/>
          <a:ext cx="45720" cy="45720"/>
        </a:xfrm>
        <a:prstGeom prst="ellipse">
          <a:avLst/>
        </a:prstGeom>
        <a:solidFill>
          <a:schemeClr val="tx1">
            <a:alpha val="8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248105</xdr:colOff>
      <xdr:row>13</xdr:row>
      <xdr:rowOff>38101</xdr:rowOff>
    </xdr:from>
    <xdr:to>
      <xdr:col>6</xdr:col>
      <xdr:colOff>600078</xdr:colOff>
      <xdr:row>17</xdr:row>
      <xdr:rowOff>136532</xdr:rowOff>
    </xdr:to>
    <xdr:cxnSp macro="">
      <xdr:nvCxnSpPr>
        <xdr:cNvPr id="7" name="Straight Connector 6"/>
        <xdr:cNvCxnSpPr/>
      </xdr:nvCxnSpPr>
      <xdr:spPr>
        <a:xfrm rot="5400000" flipH="1" flipV="1">
          <a:off x="5423126" y="2587855"/>
          <a:ext cx="860431" cy="351973"/>
        </a:xfrm>
        <a:prstGeom prst="line">
          <a:avLst/>
        </a:prstGeom>
        <a:ln>
          <a:solidFill>
            <a:srgbClr val="FFFFCC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657225</xdr:colOff>
      <xdr:row>13</xdr:row>
      <xdr:rowOff>57150</xdr:rowOff>
    </xdr:from>
    <xdr:to>
      <xdr:col>7</xdr:col>
      <xdr:colOff>28580</xdr:colOff>
      <xdr:row>17</xdr:row>
      <xdr:rowOff>180976</xdr:rowOff>
    </xdr:to>
    <xdr:cxnSp macro="">
      <xdr:nvCxnSpPr>
        <xdr:cNvPr id="12" name="Straight Connector 11"/>
        <xdr:cNvCxnSpPr/>
      </xdr:nvCxnSpPr>
      <xdr:spPr>
        <a:xfrm rot="16200000" flipV="1">
          <a:off x="5391152" y="2609848"/>
          <a:ext cx="885826" cy="371480"/>
        </a:xfrm>
        <a:prstGeom prst="line">
          <a:avLst/>
        </a:prstGeom>
        <a:ln>
          <a:solidFill>
            <a:srgbClr val="FFFFCC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990601</xdr:colOff>
      <xdr:row>12</xdr:row>
      <xdr:rowOff>228600</xdr:rowOff>
    </xdr:from>
    <xdr:to>
      <xdr:col>4</xdr:col>
      <xdr:colOff>400049</xdr:colOff>
      <xdr:row>12</xdr:row>
      <xdr:rowOff>657223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6" y="2647950"/>
          <a:ext cx="428623" cy="4286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180976</xdr:colOff>
      <xdr:row>12</xdr:row>
      <xdr:rowOff>38101</xdr:rowOff>
    </xdr:from>
    <xdr:to>
      <xdr:col>7</xdr:col>
      <xdr:colOff>238126</xdr:colOff>
      <xdr:row>12</xdr:row>
      <xdr:rowOff>876301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62251" y="2457451"/>
          <a:ext cx="838200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304800</xdr:colOff>
      <xdr:row>12</xdr:row>
      <xdr:rowOff>66674</xdr:rowOff>
    </xdr:from>
    <xdr:to>
      <xdr:col>9</xdr:col>
      <xdr:colOff>125234</xdr:colOff>
      <xdr:row>12</xdr:row>
      <xdr:rowOff>847723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8804"/>
        <a:stretch>
          <a:fillRect/>
        </a:stretch>
      </xdr:blipFill>
      <xdr:spPr bwMode="auto">
        <a:xfrm>
          <a:off x="3667125" y="2486024"/>
          <a:ext cx="725309" cy="7810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342900</xdr:colOff>
      <xdr:row>5</xdr:row>
      <xdr:rowOff>180975</xdr:rowOff>
    </xdr:from>
    <xdr:to>
      <xdr:col>14</xdr:col>
      <xdr:colOff>0</xdr:colOff>
      <xdr:row>19</xdr:row>
      <xdr:rowOff>47625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76875" y="1000125"/>
          <a:ext cx="1304925" cy="4257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hyperlink" Target="http://en.wikipedia.org/wiki/File:Star-sizes.jp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http://www.wdv.com/Aerospace/Astronomy/PlanetTem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33"/>
  <sheetViews>
    <sheetView showGridLines="0" showRowColHeaders="0" tabSelected="1" zoomScaleNormal="100" workbookViewId="0">
      <selection activeCell="E26" sqref="E26"/>
    </sheetView>
  </sheetViews>
  <sheetFormatPr defaultRowHeight="15"/>
  <cols>
    <col min="1" max="1" width="3.5703125" customWidth="1"/>
    <col min="2" max="2" width="2.28515625" customWidth="1"/>
    <col min="3" max="3" width="2.42578125" customWidth="1"/>
    <col min="4" max="4" width="28.140625" style="1" bestFit="1" customWidth="1"/>
    <col min="5" max="5" width="26.28515625" style="2" bestFit="1" customWidth="1"/>
    <col min="6" max="6" width="12.140625" style="3" bestFit="1" customWidth="1"/>
    <col min="7" max="7" width="15" bestFit="1" customWidth="1"/>
    <col min="8" max="8" width="9.140625" bestFit="1" customWidth="1"/>
    <col min="9" max="10" width="3.140625" customWidth="1"/>
    <col min="11" max="11" width="2.42578125" customWidth="1"/>
    <col min="12" max="12" width="4.42578125" customWidth="1"/>
    <col min="13" max="13" width="24.42578125" bestFit="1" customWidth="1"/>
    <col min="14" max="14" width="14.5703125" bestFit="1" customWidth="1"/>
    <col min="15" max="15" width="18.28515625" bestFit="1" customWidth="1"/>
    <col min="16" max="16" width="20.85546875" bestFit="1" customWidth="1"/>
    <col min="17" max="17" width="16.42578125" bestFit="1" customWidth="1"/>
    <col min="18" max="18" width="6.42578125" bestFit="1" customWidth="1"/>
  </cols>
  <sheetData>
    <row r="1" spans="2:13" ht="15.75" thickBot="1"/>
    <row r="2" spans="2:13">
      <c r="B2" s="33"/>
      <c r="C2" s="34"/>
      <c r="D2" s="35" t="s">
        <v>71</v>
      </c>
      <c r="E2" s="36"/>
      <c r="F2" s="37"/>
      <c r="G2" s="38" t="s">
        <v>72</v>
      </c>
      <c r="H2" s="34"/>
      <c r="I2" s="34"/>
      <c r="J2" s="34"/>
      <c r="K2" s="39"/>
      <c r="L2" s="13"/>
    </row>
    <row r="3" spans="2:13">
      <c r="B3" s="40"/>
      <c r="C3" s="15"/>
      <c r="D3" s="16"/>
      <c r="E3" s="17"/>
      <c r="F3" s="16"/>
      <c r="G3" s="15"/>
      <c r="H3" s="15"/>
      <c r="I3" s="15"/>
      <c r="J3" s="15"/>
      <c r="K3" s="41"/>
      <c r="L3" s="13"/>
    </row>
    <row r="4" spans="2:13">
      <c r="B4" s="40"/>
      <c r="C4" s="15"/>
      <c r="D4" s="5"/>
      <c r="E4" s="24" t="s">
        <v>69</v>
      </c>
      <c r="F4" s="6"/>
      <c r="G4" s="15"/>
      <c r="H4" s="15"/>
      <c r="I4" s="15"/>
      <c r="J4" s="15"/>
      <c r="K4" s="41"/>
      <c r="L4" s="13"/>
    </row>
    <row r="5" spans="2:13">
      <c r="B5" s="40"/>
      <c r="C5" s="15"/>
      <c r="D5" s="4" t="s">
        <v>131</v>
      </c>
      <c r="E5" s="27">
        <v>4.0000000000000001E-3</v>
      </c>
      <c r="F5" s="15"/>
      <c r="G5" s="15"/>
      <c r="H5" s="15"/>
      <c r="I5" s="15"/>
      <c r="J5" s="15"/>
      <c r="K5" s="41"/>
      <c r="L5" s="13"/>
    </row>
    <row r="6" spans="2:13">
      <c r="B6" s="40"/>
      <c r="C6" s="15"/>
      <c r="D6" s="20" t="s">
        <v>68</v>
      </c>
      <c r="E6" s="21">
        <f>earthRadiusInKm^2/sunRadiusInKm^2</f>
        <v>8.4098525149608702E-5</v>
      </c>
      <c r="F6" s="15"/>
      <c r="G6" s="15"/>
      <c r="H6" s="15"/>
      <c r="I6" s="15"/>
      <c r="J6" s="15"/>
      <c r="K6" s="41"/>
      <c r="L6" s="13"/>
    </row>
    <row r="7" spans="2:13">
      <c r="B7" s="40"/>
      <c r="C7" s="15"/>
      <c r="D7" s="6" t="s">
        <v>132</v>
      </c>
      <c r="E7" s="23">
        <v>10</v>
      </c>
      <c r="F7" s="5" t="s">
        <v>60</v>
      </c>
      <c r="G7" s="15"/>
      <c r="H7" s="15"/>
      <c r="I7" s="6"/>
      <c r="J7" s="15"/>
      <c r="K7" s="41"/>
      <c r="L7" s="13"/>
    </row>
    <row r="8" spans="2:13">
      <c r="B8" s="40"/>
      <c r="C8" s="15"/>
      <c r="D8" s="6" t="s">
        <v>147</v>
      </c>
      <c r="E8" s="132">
        <v>5778</v>
      </c>
      <c r="F8" s="58" t="s">
        <v>5</v>
      </c>
      <c r="G8" s="15"/>
      <c r="H8" s="15"/>
      <c r="I8" s="6"/>
      <c r="J8" s="15"/>
      <c r="K8" s="41"/>
      <c r="L8" s="13"/>
    </row>
    <row r="9" spans="2:13">
      <c r="B9" s="40"/>
      <c r="C9" s="15"/>
      <c r="D9" s="16"/>
      <c r="E9" s="17"/>
      <c r="F9" s="16"/>
      <c r="G9" s="15"/>
      <c r="H9" s="15"/>
      <c r="I9" s="15"/>
      <c r="J9" s="15"/>
      <c r="K9" s="41"/>
      <c r="L9" s="13"/>
    </row>
    <row r="10" spans="2:13">
      <c r="B10" s="40"/>
      <c r="C10" s="15"/>
      <c r="D10" s="16"/>
      <c r="E10" s="24" t="s">
        <v>0</v>
      </c>
      <c r="F10" s="18"/>
      <c r="G10" s="15"/>
      <c r="H10" s="15"/>
      <c r="I10" s="15"/>
      <c r="J10" s="15"/>
      <c r="K10" s="41"/>
      <c r="L10" s="13"/>
    </row>
    <row r="11" spans="2:13">
      <c r="B11" s="40"/>
      <c r="C11" s="15"/>
      <c r="D11" s="4" t="s">
        <v>133</v>
      </c>
      <c r="E11" s="28">
        <v>0.5</v>
      </c>
      <c r="F11" s="5" t="s">
        <v>103</v>
      </c>
      <c r="G11" s="15"/>
      <c r="H11" s="15"/>
      <c r="I11" s="15"/>
      <c r="J11" s="15"/>
      <c r="K11" s="41"/>
      <c r="L11" s="13"/>
    </row>
    <row r="12" spans="2:13">
      <c r="B12" s="40"/>
      <c r="C12" s="15"/>
      <c r="D12" s="4" t="s">
        <v>85</v>
      </c>
      <c r="E12" s="22">
        <f>4*PI()*(starRadiusInSuns)^3/(4*PI()*(1)^3)</f>
        <v>0.125</v>
      </c>
      <c r="F12" s="5" t="s">
        <v>103</v>
      </c>
      <c r="G12" s="15"/>
      <c r="H12" s="15"/>
      <c r="I12" s="15"/>
      <c r="J12" s="15"/>
      <c r="K12" s="41"/>
      <c r="L12" s="13"/>
    </row>
    <row r="13" spans="2:13">
      <c r="B13" s="40"/>
      <c r="C13" s="15"/>
      <c r="D13" s="4" t="s">
        <v>86</v>
      </c>
      <c r="E13" s="29">
        <f>10^10*starMassInSuns^-2.5</f>
        <v>1810193359837.5613</v>
      </c>
      <c r="F13" s="5" t="s">
        <v>104</v>
      </c>
      <c r="G13" s="15"/>
      <c r="H13" s="15"/>
      <c r="I13" s="15"/>
      <c r="J13" s="15"/>
      <c r="K13" s="41"/>
      <c r="L13" s="13"/>
    </row>
    <row r="14" spans="2:13">
      <c r="B14" s="40"/>
      <c r="C14" s="15"/>
      <c r="D14" s="4" t="s">
        <v>87</v>
      </c>
      <c r="E14" s="22">
        <f>(((starMassInSuns*sunMassInKg)*G/4)^(1/3))*(((OrbitalPeriodInDays*daysToSeconds)/PI())^(2/3))/earthSunDistanceInKm</f>
        <v>4.5419950331023161E-2</v>
      </c>
      <c r="F14" s="5" t="s">
        <v>3</v>
      </c>
      <c r="G14" s="4"/>
      <c r="H14" s="15"/>
      <c r="I14" s="15"/>
      <c r="J14" s="15"/>
      <c r="K14" s="41"/>
      <c r="L14" s="13"/>
    </row>
    <row r="15" spans="2:13">
      <c r="B15" s="40"/>
      <c r="C15" s="15"/>
      <c r="D15" s="15"/>
      <c r="E15" s="15"/>
      <c r="F15" s="15"/>
      <c r="G15" s="15"/>
      <c r="H15" s="15"/>
      <c r="I15" s="15"/>
      <c r="J15" s="15"/>
      <c r="K15" s="41"/>
      <c r="L15" s="13"/>
      <c r="M15" t="s">
        <v>126</v>
      </c>
    </row>
    <row r="16" spans="2:13">
      <c r="B16" s="40"/>
      <c r="C16" s="15"/>
      <c r="D16" s="15"/>
      <c r="E16" s="24" t="s">
        <v>1</v>
      </c>
      <c r="F16" s="15"/>
      <c r="G16" s="15"/>
      <c r="H16" s="15"/>
      <c r="I16" s="15"/>
      <c r="J16" s="15"/>
      <c r="K16" s="41"/>
      <c r="L16" s="13"/>
    </row>
    <row r="17" spans="2:12">
      <c r="B17" s="40"/>
      <c r="C17" s="15"/>
      <c r="D17" s="6" t="s">
        <v>88</v>
      </c>
      <c r="E17" s="22" t="str">
        <f>IF(isActivated,SQRT(dimming)*starRadiusInKm/earthRadiusInKm,"Request ID from")</f>
        <v>Request ID from</v>
      </c>
      <c r="F17" s="5" t="s">
        <v>53</v>
      </c>
      <c r="G17" s="15"/>
      <c r="H17" s="15"/>
      <c r="I17" s="15"/>
      <c r="J17" s="15"/>
      <c r="K17" s="41"/>
      <c r="L17" s="13"/>
    </row>
    <row r="18" spans="2:12">
      <c r="B18" s="40"/>
      <c r="C18" s="15"/>
      <c r="D18" s="6" t="s">
        <v>89</v>
      </c>
      <c r="E18" s="30" t="str">
        <f>IF(isActivated, 4*PI()*(planetRadiusInEarths*earthRadiusInKm)^3/3*earthDensityInGPerCc*gPerCm3TokgPerKm3/earthMassInKg, "planetfinder@wdv.com")</f>
        <v>planetfinder@wdv.com</v>
      </c>
      <c r="F18" s="5" t="s">
        <v>53</v>
      </c>
      <c r="G18" s="15"/>
      <c r="H18" s="15"/>
      <c r="I18" s="15"/>
      <c r="J18" s="15"/>
      <c r="K18" s="41"/>
      <c r="L18" s="13"/>
    </row>
    <row r="19" spans="2:12">
      <c r="B19" s="40"/>
      <c r="C19" s="15"/>
      <c r="D19" s="6" t="s">
        <v>151</v>
      </c>
      <c r="E19" s="137" t="str">
        <f>IF(isActivated,(planetMassInKg/(planetRadiusInKm^2))/(earthMassInKg/(earthRadiusInKm^2)), "")</f>
        <v/>
      </c>
      <c r="F19" s="5" t="s">
        <v>53</v>
      </c>
      <c r="G19" s="15"/>
      <c r="H19" s="15"/>
      <c r="I19" s="15"/>
      <c r="J19" s="15"/>
      <c r="K19" s="41"/>
      <c r="L19" s="13"/>
    </row>
    <row r="20" spans="2:12">
      <c r="B20" s="40"/>
      <c r="C20" s="15"/>
      <c r="D20" s="6" t="s">
        <v>134</v>
      </c>
      <c r="E20" s="19">
        <v>0.28999999999999998</v>
      </c>
      <c r="F20" s="5" t="s">
        <v>8</v>
      </c>
      <c r="G20" s="15"/>
      <c r="H20" s="15"/>
      <c r="I20" s="15"/>
      <c r="J20" s="15"/>
      <c r="K20" s="41"/>
      <c r="L20" s="13"/>
    </row>
    <row r="21" spans="2:12">
      <c r="B21" s="40"/>
      <c r="C21" s="15"/>
      <c r="D21" s="20" t="s">
        <v>68</v>
      </c>
      <c r="E21" s="26">
        <v>0.28999999999999998</v>
      </c>
      <c r="F21" s="15"/>
      <c r="G21" s="15"/>
      <c r="H21" s="15"/>
      <c r="I21" s="15"/>
      <c r="J21" s="15"/>
      <c r="K21" s="41"/>
      <c r="L21" s="13"/>
    </row>
    <row r="22" spans="2:12">
      <c r="B22" s="40"/>
      <c r="C22" s="15"/>
      <c r="D22" s="6" t="s">
        <v>135</v>
      </c>
      <c r="E22" s="25">
        <v>1</v>
      </c>
      <c r="F22" s="5" t="s">
        <v>4</v>
      </c>
      <c r="G22" s="15"/>
      <c r="H22" s="15"/>
      <c r="I22" s="15"/>
      <c r="J22" s="15"/>
      <c r="K22" s="41"/>
      <c r="L22" s="13"/>
    </row>
    <row r="23" spans="2:12">
      <c r="B23" s="40"/>
      <c r="C23" s="15"/>
      <c r="D23" s="20" t="s">
        <v>68</v>
      </c>
      <c r="E23" s="7">
        <v>1</v>
      </c>
      <c r="F23" s="15"/>
      <c r="G23" s="15"/>
      <c r="H23" s="47"/>
      <c r="I23" s="47"/>
      <c r="J23" s="15"/>
      <c r="K23" s="41"/>
      <c r="L23" s="13"/>
    </row>
    <row r="24" spans="2:12">
      <c r="B24" s="40"/>
      <c r="C24" s="15"/>
      <c r="D24" s="20" t="s">
        <v>70</v>
      </c>
      <c r="E24" s="7">
        <v>200</v>
      </c>
      <c r="F24" s="15"/>
      <c r="G24" s="6" t="s">
        <v>24</v>
      </c>
      <c r="H24" s="138">
        <f>Tsur^0.25</f>
        <v>283.54987515260228</v>
      </c>
      <c r="I24" s="8" t="s">
        <v>5</v>
      </c>
      <c r="J24" s="15"/>
      <c r="K24" s="41"/>
      <c r="L24" s="14"/>
    </row>
    <row r="25" spans="2:12">
      <c r="B25" s="40"/>
      <c r="C25" s="15"/>
      <c r="D25" s="31"/>
      <c r="E25" s="31"/>
      <c r="F25" s="31"/>
      <c r="G25" s="6" t="s">
        <v>25</v>
      </c>
      <c r="H25" s="138">
        <f>H24-273.15</f>
        <v>10.399875152602306</v>
      </c>
      <c r="I25" s="8" t="s">
        <v>6</v>
      </c>
      <c r="J25" s="15"/>
      <c r="K25" s="41"/>
      <c r="L25" s="14"/>
    </row>
    <row r="26" spans="2:12">
      <c r="B26" s="40"/>
      <c r="C26" s="15"/>
      <c r="D26" s="139" t="s">
        <v>125</v>
      </c>
      <c r="E26" s="49" t="s">
        <v>153</v>
      </c>
      <c r="F26" s="16"/>
      <c r="G26" s="16"/>
      <c r="H26" s="138">
        <f>H24*1.8 - 459.67</f>
        <v>50.719775274684082</v>
      </c>
      <c r="I26" s="8" t="s">
        <v>7</v>
      </c>
      <c r="J26" s="15"/>
      <c r="K26" s="41"/>
      <c r="L26" s="14"/>
    </row>
    <row r="27" spans="2:12">
      <c r="B27" s="40"/>
      <c r="C27" s="15"/>
      <c r="D27" s="140" t="s">
        <v>127</v>
      </c>
      <c r="E27" s="51" t="s">
        <v>152</v>
      </c>
      <c r="F27" s="50">
        <f>IF(activationID=CODE(MID(username,1,1))*CODE(MID(username,ROUND(LEN(username)/2, 0),1))+CODE(MID(username,LEN(username),1))*LEN(username),1,0)</f>
        <v>0</v>
      </c>
      <c r="G27" s="16"/>
      <c r="H27" s="15"/>
      <c r="I27" s="15"/>
      <c r="J27" s="15"/>
      <c r="K27" s="41"/>
      <c r="L27" s="14"/>
    </row>
    <row r="28" spans="2:12">
      <c r="B28" s="40"/>
      <c r="C28" s="15"/>
      <c r="D28" s="15"/>
      <c r="E28" s="15"/>
      <c r="F28" s="15"/>
      <c r="G28" s="16"/>
      <c r="H28" s="16"/>
      <c r="I28" s="16"/>
      <c r="J28" s="16"/>
      <c r="K28" s="41"/>
      <c r="L28" s="14"/>
    </row>
    <row r="29" spans="2:12">
      <c r="B29" s="40"/>
      <c r="C29" s="52"/>
      <c r="D29" s="53" t="s">
        <v>34</v>
      </c>
      <c r="E29" s="54"/>
      <c r="F29" s="54"/>
      <c r="G29" s="54"/>
      <c r="H29" s="54"/>
      <c r="I29" s="55" t="s">
        <v>50</v>
      </c>
      <c r="J29" s="54"/>
      <c r="K29" s="56"/>
      <c r="L29" s="14"/>
    </row>
    <row r="30" spans="2:12">
      <c r="B30" s="40"/>
      <c r="C30" s="52"/>
      <c r="D30" s="54"/>
      <c r="E30" s="54"/>
      <c r="F30" s="54"/>
      <c r="G30" s="54"/>
      <c r="H30" s="54"/>
      <c r="I30" s="54"/>
      <c r="J30" s="54"/>
      <c r="K30" s="56"/>
      <c r="L30" s="14"/>
    </row>
    <row r="31" spans="2:12" ht="15.75" thickBot="1">
      <c r="B31" s="42"/>
      <c r="C31" s="43"/>
      <c r="D31" s="44" t="s">
        <v>128</v>
      </c>
      <c r="E31" s="120" t="s">
        <v>149</v>
      </c>
      <c r="F31" s="45"/>
      <c r="G31" s="45"/>
      <c r="H31" s="45"/>
      <c r="I31" s="143" t="s">
        <v>130</v>
      </c>
      <c r="J31" s="45"/>
      <c r="K31" s="46"/>
      <c r="L31" s="14"/>
    </row>
    <row r="32" spans="2:12">
      <c r="L32" s="14"/>
    </row>
    <row r="33" spans="12:12">
      <c r="L33" s="14"/>
    </row>
  </sheetData>
  <sheetProtection password="C4AC" sheet="1" objects="1" scenarios="1"/>
  <conditionalFormatting sqref="D27:E27">
    <cfRule type="expression" dxfId="0" priority="2">
      <formula>$F$27</formula>
    </cfRule>
  </conditionalFormatting>
  <hyperlinks>
    <hyperlink ref="I29" location="'Reference Temperatures'!B2" display="Reference Temperatures"/>
    <hyperlink ref="D29" location="'Near-Earth Planet Statistics'!B2" display="Near-Earth Planet Statistics"/>
    <hyperlink ref="G2" location="About!B2" display="About"/>
    <hyperlink ref="I31" location="'Hertzsprung-Russell'!A1" display="Hertzsprung-Russell Diagram"/>
    <hyperlink ref="D31" location="'Star Sizes'!I19" display="Star Sizes"/>
    <hyperlink ref="E31" location="Calculations!A1" display="Calculations"/>
  </hyperlinks>
  <pageMargins left="0.7" right="0.7" top="0.75" bottom="0.75" header="0.3" footer="0.3"/>
  <pageSetup orientation="portrait" horizontalDpi="200" verticalDpi="200" r:id="rId1"/>
  <ignoredErrors>
    <ignoredError sqref="F27" evalError="1"/>
  </ignoredErrors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3"/>
  <sheetViews>
    <sheetView showGridLines="0" showRowColHeaders="0" workbookViewId="0"/>
  </sheetViews>
  <sheetFormatPr defaultRowHeight="15"/>
  <cols>
    <col min="1" max="1" width="5.140625" customWidth="1"/>
    <col min="2" max="2" width="2.85546875" customWidth="1"/>
    <col min="15" max="15" width="2.42578125" customWidth="1"/>
  </cols>
  <sheetData>
    <row r="1" spans="1:15" ht="15.75" thickBot="1">
      <c r="A1" s="12"/>
      <c r="B1" s="12"/>
      <c r="C1" s="12"/>
      <c r="D1" s="12"/>
      <c r="E1" s="12"/>
      <c r="F1" s="12"/>
    </row>
    <row r="2" spans="1:15">
      <c r="A2" s="12"/>
      <c r="B2" s="121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3"/>
    </row>
    <row r="3" spans="1:15" ht="18.75">
      <c r="B3" s="124"/>
      <c r="C3" s="141" t="s">
        <v>51</v>
      </c>
      <c r="D3" s="141"/>
      <c r="E3" s="141"/>
      <c r="F3" s="141"/>
      <c r="G3" s="66"/>
      <c r="H3" s="66"/>
      <c r="I3" s="66"/>
      <c r="J3" s="66"/>
      <c r="K3" s="66"/>
      <c r="L3" s="66"/>
      <c r="M3" s="66"/>
      <c r="N3" s="66"/>
      <c r="O3" s="125"/>
    </row>
    <row r="4" spans="1:15" ht="26.25">
      <c r="B4" s="124"/>
      <c r="C4" s="66"/>
      <c r="D4" s="119" t="s">
        <v>50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125"/>
    </row>
    <row r="5" spans="1:15">
      <c r="B5" s="124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125"/>
    </row>
    <row r="6" spans="1:15" ht="18.75">
      <c r="B6" s="124"/>
      <c r="C6" s="66"/>
      <c r="D6" s="69" t="s">
        <v>46</v>
      </c>
      <c r="E6" s="69">
        <v>-218.79</v>
      </c>
      <c r="F6" s="70" t="s">
        <v>6</v>
      </c>
      <c r="G6" s="71" t="s">
        <v>49</v>
      </c>
      <c r="H6" s="66"/>
      <c r="I6" s="66"/>
      <c r="J6" s="66"/>
      <c r="K6" s="66"/>
      <c r="L6" s="66"/>
      <c r="M6" s="66"/>
      <c r="N6" s="66"/>
      <c r="O6" s="125"/>
    </row>
    <row r="7" spans="1:15" ht="18.75">
      <c r="B7" s="124"/>
      <c r="C7" s="66"/>
      <c r="D7" s="69" t="s">
        <v>46</v>
      </c>
      <c r="E7" s="69">
        <v>-210</v>
      </c>
      <c r="F7" s="70" t="s">
        <v>6</v>
      </c>
      <c r="G7" s="71" t="s">
        <v>48</v>
      </c>
      <c r="H7" s="66"/>
      <c r="I7" s="66"/>
      <c r="J7" s="66"/>
      <c r="K7" s="66"/>
      <c r="L7" s="66"/>
      <c r="M7" s="66"/>
      <c r="N7" s="66"/>
      <c r="O7" s="125"/>
    </row>
    <row r="8" spans="1:15" ht="18.75">
      <c r="B8" s="124"/>
      <c r="C8" s="66"/>
      <c r="D8" s="69" t="s">
        <v>46</v>
      </c>
      <c r="E8" s="69">
        <v>-78.5</v>
      </c>
      <c r="F8" s="70" t="s">
        <v>6</v>
      </c>
      <c r="G8" s="71" t="s">
        <v>47</v>
      </c>
      <c r="H8" s="66"/>
      <c r="I8" s="66"/>
      <c r="J8" s="66"/>
      <c r="K8" s="66"/>
      <c r="L8" s="66"/>
      <c r="M8" s="66"/>
      <c r="N8" s="66"/>
      <c r="O8" s="125"/>
    </row>
    <row r="9" spans="1:15" ht="18.75">
      <c r="B9" s="124"/>
      <c r="C9" s="66"/>
      <c r="D9" s="69" t="s">
        <v>46</v>
      </c>
      <c r="E9" s="69">
        <v>-17.8</v>
      </c>
      <c r="F9" s="70" t="s">
        <v>6</v>
      </c>
      <c r="G9" s="71" t="s">
        <v>45</v>
      </c>
      <c r="H9" s="66"/>
      <c r="I9" s="66"/>
      <c r="J9" s="66"/>
      <c r="K9" s="66"/>
      <c r="L9" s="66"/>
      <c r="M9" s="66"/>
      <c r="N9" s="66"/>
      <c r="O9" s="125"/>
    </row>
    <row r="10" spans="1:15" ht="18.75">
      <c r="B10" s="124"/>
      <c r="C10" s="66"/>
      <c r="D10" s="69" t="s">
        <v>44</v>
      </c>
      <c r="E10" s="69">
        <v>0</v>
      </c>
      <c r="F10" s="70" t="s">
        <v>6</v>
      </c>
      <c r="G10" s="71" t="s">
        <v>43</v>
      </c>
      <c r="H10" s="66"/>
      <c r="I10" s="66"/>
      <c r="J10" s="66"/>
      <c r="K10" s="66"/>
      <c r="L10" s="66"/>
      <c r="M10" s="66"/>
      <c r="N10" s="66"/>
      <c r="O10" s="125"/>
    </row>
    <row r="11" spans="1:15" ht="18.75">
      <c r="B11" s="124"/>
      <c r="C11" s="66"/>
      <c r="D11" s="69" t="s">
        <v>42</v>
      </c>
      <c r="E11" s="69">
        <v>0</v>
      </c>
      <c r="F11" s="70" t="s">
        <v>6</v>
      </c>
      <c r="G11" s="71" t="s">
        <v>41</v>
      </c>
      <c r="H11" s="71"/>
      <c r="I11" s="71"/>
      <c r="J11" s="66"/>
      <c r="K11" s="66"/>
      <c r="L11" s="66"/>
      <c r="M11" s="66"/>
      <c r="N11" s="66"/>
      <c r="O11" s="125"/>
    </row>
    <row r="12" spans="1:15" ht="18.75">
      <c r="B12" s="124"/>
      <c r="C12" s="66"/>
      <c r="D12" s="69" t="s">
        <v>36</v>
      </c>
      <c r="E12" s="69">
        <v>100</v>
      </c>
      <c r="F12" s="70" t="s">
        <v>6</v>
      </c>
      <c r="G12" s="71" t="s">
        <v>40</v>
      </c>
      <c r="H12" s="66"/>
      <c r="I12" s="66"/>
      <c r="J12" s="66"/>
      <c r="K12" s="66"/>
      <c r="L12" s="66"/>
      <c r="M12" s="66"/>
      <c r="N12" s="66"/>
      <c r="O12" s="125"/>
    </row>
    <row r="13" spans="1:15" ht="18.75">
      <c r="B13" s="124"/>
      <c r="C13" s="66"/>
      <c r="D13" s="69" t="s">
        <v>36</v>
      </c>
      <c r="E13" s="69">
        <v>107</v>
      </c>
      <c r="F13" s="70" t="s">
        <v>6</v>
      </c>
      <c r="G13" s="71" t="s">
        <v>39</v>
      </c>
      <c r="H13" s="66"/>
      <c r="I13" s="66"/>
      <c r="J13" s="66"/>
      <c r="K13" s="66"/>
      <c r="L13" s="66"/>
      <c r="M13" s="66"/>
      <c r="N13" s="66"/>
      <c r="O13" s="125"/>
    </row>
    <row r="14" spans="1:15" ht="18.75">
      <c r="B14" s="124"/>
      <c r="C14" s="66"/>
      <c r="D14" s="69" t="s">
        <v>36</v>
      </c>
      <c r="E14" s="69">
        <v>282</v>
      </c>
      <c r="F14" s="70" t="s">
        <v>6</v>
      </c>
      <c r="G14" s="71" t="s">
        <v>38</v>
      </c>
      <c r="H14" s="66"/>
      <c r="I14" s="66"/>
      <c r="J14" s="66"/>
      <c r="K14" s="66"/>
      <c r="L14" s="66"/>
      <c r="M14" s="66"/>
      <c r="N14" s="66"/>
      <c r="O14" s="125"/>
    </row>
    <row r="15" spans="1:15" ht="18.75">
      <c r="B15" s="124"/>
      <c r="C15" s="66"/>
      <c r="D15" s="69" t="s">
        <v>36</v>
      </c>
      <c r="E15" s="69">
        <v>327.5</v>
      </c>
      <c r="F15" s="70" t="s">
        <v>6</v>
      </c>
      <c r="G15" s="71" t="s">
        <v>37</v>
      </c>
      <c r="H15" s="66"/>
      <c r="I15" s="66"/>
      <c r="J15" s="66"/>
      <c r="K15" s="66"/>
      <c r="L15" s="66"/>
      <c r="M15" s="66"/>
      <c r="N15" s="66"/>
      <c r="O15" s="125"/>
    </row>
    <row r="16" spans="1:15" ht="18.75">
      <c r="B16" s="124"/>
      <c r="C16" s="66"/>
      <c r="D16" s="69" t="s">
        <v>36</v>
      </c>
      <c r="E16" s="69">
        <v>1100</v>
      </c>
      <c r="F16" s="70" t="s">
        <v>6</v>
      </c>
      <c r="G16" s="71" t="s">
        <v>35</v>
      </c>
      <c r="H16" s="66"/>
      <c r="I16" s="66"/>
      <c r="J16" s="66"/>
      <c r="K16" s="66"/>
      <c r="L16" s="101" t="s">
        <v>150</v>
      </c>
      <c r="M16" s="66"/>
      <c r="N16" s="66"/>
      <c r="O16" s="125"/>
    </row>
    <row r="17" spans="2:15" ht="18.75">
      <c r="B17" s="124"/>
      <c r="C17" s="66"/>
      <c r="D17" s="69"/>
      <c r="E17" s="69"/>
      <c r="F17" s="70"/>
      <c r="G17" s="71"/>
      <c r="H17" s="66"/>
      <c r="I17" s="66"/>
      <c r="J17" s="66"/>
      <c r="K17" s="66"/>
      <c r="L17" s="66"/>
      <c r="M17" s="66"/>
      <c r="N17" s="66"/>
      <c r="O17" s="125"/>
    </row>
    <row r="18" spans="2:15" ht="15.75" thickBot="1">
      <c r="B18" s="126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8"/>
    </row>
    <row r="23" spans="2:15">
      <c r="G23" s="11"/>
    </row>
  </sheetData>
  <sheetProtection password="C4AC" sheet="1" objects="1" scenarios="1"/>
  <mergeCells count="1">
    <mergeCell ref="C3:F3"/>
  </mergeCells>
  <hyperlinks>
    <hyperlink ref="C3:F3" location="'Planet Temperature'!A1" display="BACK"/>
  </hyperlinks>
  <pageMargins left="0.7" right="0.7" top="0.75" bottom="0.75" header="0.3" footer="0.3"/>
  <pageSetup orientation="portrait" horizontalDpi="200" verticalDpi="200"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O25"/>
  <sheetViews>
    <sheetView showGridLines="0" showRowColHeaders="0" workbookViewId="0"/>
  </sheetViews>
  <sheetFormatPr defaultRowHeight="15"/>
  <cols>
    <col min="2" max="2" width="2.85546875" customWidth="1"/>
    <col min="3" max="3" width="5.28515625" customWidth="1"/>
    <col min="4" max="4" width="15.28515625" bestFit="1" customWidth="1"/>
    <col min="5" max="5" width="6.140625" bestFit="1" customWidth="1"/>
    <col min="6" max="6" width="5.85546875" customWidth="1"/>
    <col min="7" max="7" width="5.85546875" bestFit="1" customWidth="1"/>
    <col min="8" max="8" width="6.85546875" customWidth="1"/>
    <col min="9" max="9" width="6.7109375" bestFit="1" customWidth="1"/>
    <col min="10" max="10" width="8" bestFit="1" customWidth="1"/>
    <col min="11" max="11" width="5" style="9" customWidth="1"/>
    <col min="12" max="12" width="14" style="9" bestFit="1" customWidth="1"/>
    <col min="13" max="13" width="9.140625" style="9"/>
    <col min="14" max="14" width="1.5703125" customWidth="1"/>
    <col min="15" max="15" width="2.140625" customWidth="1"/>
  </cols>
  <sheetData>
    <row r="1" spans="2:15" ht="15.75" thickBot="1">
      <c r="K1"/>
      <c r="L1"/>
      <c r="M1"/>
    </row>
    <row r="2" spans="2:15">
      <c r="B2" s="121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3"/>
    </row>
    <row r="3" spans="2:15" ht="18.75">
      <c r="B3" s="124"/>
      <c r="C3" s="142" t="s">
        <v>51</v>
      </c>
      <c r="D3" s="142"/>
      <c r="E3" s="142"/>
      <c r="F3" s="142"/>
      <c r="G3" s="66"/>
      <c r="H3" s="66"/>
      <c r="I3" s="66"/>
      <c r="J3" s="66"/>
      <c r="K3" s="66"/>
      <c r="L3" s="66"/>
      <c r="M3" s="66"/>
      <c r="N3" s="66"/>
      <c r="O3" s="125"/>
    </row>
    <row r="4" spans="2:15" ht="18.75">
      <c r="B4" s="124"/>
      <c r="C4" s="48"/>
      <c r="D4" s="48"/>
      <c r="E4" s="48"/>
      <c r="F4" s="48"/>
      <c r="G4" s="66"/>
      <c r="H4" s="66"/>
      <c r="I4" s="66"/>
      <c r="J4" s="66"/>
      <c r="K4" s="66"/>
      <c r="L4" s="66"/>
      <c r="M4" s="66"/>
      <c r="N4" s="66"/>
      <c r="O4" s="125"/>
    </row>
    <row r="5" spans="2:15" ht="18.75">
      <c r="B5" s="124"/>
      <c r="C5" s="118"/>
      <c r="D5" s="118"/>
      <c r="E5" s="119" t="s">
        <v>34</v>
      </c>
      <c r="F5" s="118"/>
      <c r="G5" s="118"/>
      <c r="H5" s="118"/>
      <c r="I5" s="118"/>
      <c r="J5" s="118"/>
      <c r="K5" s="118"/>
      <c r="L5" s="118"/>
      <c r="M5" s="118"/>
      <c r="N5" s="118"/>
      <c r="O5" s="125"/>
    </row>
    <row r="6" spans="2:15" ht="15.75">
      <c r="B6" s="124"/>
      <c r="C6" s="75"/>
      <c r="D6" s="76" t="s">
        <v>33</v>
      </c>
      <c r="E6" s="75"/>
      <c r="F6" s="75"/>
      <c r="G6" s="75"/>
      <c r="H6" s="75"/>
      <c r="I6" s="75"/>
      <c r="J6" s="75"/>
      <c r="K6" s="75"/>
      <c r="L6" s="77"/>
      <c r="M6" s="77"/>
      <c r="N6" s="77"/>
      <c r="O6" s="125"/>
    </row>
    <row r="7" spans="2:15" ht="15.75">
      <c r="B7" s="124"/>
      <c r="C7" s="75"/>
      <c r="D7" s="78" t="s">
        <v>32</v>
      </c>
      <c r="E7" s="79">
        <v>0.13</v>
      </c>
      <c r="F7" s="80"/>
      <c r="G7" s="81">
        <v>20.946000000000002</v>
      </c>
      <c r="H7" s="80"/>
      <c r="I7" s="82">
        <v>0</v>
      </c>
      <c r="J7" s="83" t="s">
        <v>28</v>
      </c>
      <c r="K7" s="75"/>
      <c r="L7" s="77"/>
      <c r="M7" s="77"/>
      <c r="N7" s="77"/>
      <c r="O7" s="125"/>
    </row>
    <row r="8" spans="2:15" ht="15.75">
      <c r="B8" s="124"/>
      <c r="C8" s="75"/>
      <c r="D8" s="78" t="s">
        <v>31</v>
      </c>
      <c r="E8" s="79">
        <v>2.7</v>
      </c>
      <c r="F8" s="80"/>
      <c r="G8" s="81">
        <v>78.084000000000003</v>
      </c>
      <c r="H8" s="80"/>
      <c r="I8" s="82">
        <v>3.5</v>
      </c>
      <c r="J8" s="83" t="s">
        <v>28</v>
      </c>
      <c r="K8" s="75"/>
      <c r="L8" s="77"/>
      <c r="M8" s="77"/>
      <c r="N8" s="77"/>
      <c r="O8" s="125"/>
    </row>
    <row r="9" spans="2:15" ht="15.75">
      <c r="B9" s="124"/>
      <c r="C9" s="75"/>
      <c r="D9" s="78" t="s">
        <v>30</v>
      </c>
      <c r="E9" s="79">
        <v>95.32</v>
      </c>
      <c r="F9" s="80"/>
      <c r="G9" s="81">
        <v>3.9E-2</v>
      </c>
      <c r="H9" s="80"/>
      <c r="I9" s="82">
        <v>96.5</v>
      </c>
      <c r="J9" s="83" t="s">
        <v>28</v>
      </c>
      <c r="K9" s="75"/>
      <c r="L9" s="77"/>
      <c r="M9" s="77"/>
      <c r="N9" s="77"/>
      <c r="O9" s="125"/>
    </row>
    <row r="10" spans="2:15" ht="15.75">
      <c r="B10" s="124"/>
      <c r="C10" s="75"/>
      <c r="D10" s="78" t="s">
        <v>29</v>
      </c>
      <c r="E10" s="79">
        <v>1.6</v>
      </c>
      <c r="F10" s="80"/>
      <c r="G10" s="81">
        <v>0.93</v>
      </c>
      <c r="H10" s="80"/>
      <c r="I10" s="82">
        <v>0</v>
      </c>
      <c r="J10" s="83" t="s">
        <v>28</v>
      </c>
      <c r="K10" s="75"/>
      <c r="L10" s="77"/>
      <c r="M10" s="77"/>
      <c r="N10" s="77"/>
      <c r="O10" s="125"/>
    </row>
    <row r="11" spans="2:15" s="10" customFormat="1" ht="31.5">
      <c r="B11" s="129"/>
      <c r="C11" s="84"/>
      <c r="D11" s="78" t="s">
        <v>27</v>
      </c>
      <c r="E11" s="85">
        <v>5.8999999999999999E-3</v>
      </c>
      <c r="F11" s="78"/>
      <c r="G11" s="86">
        <v>1</v>
      </c>
      <c r="H11" s="78"/>
      <c r="I11" s="82">
        <v>90.81007488087134</v>
      </c>
      <c r="J11" s="87" t="s">
        <v>26</v>
      </c>
      <c r="K11" s="84"/>
      <c r="L11" s="88"/>
      <c r="M11" s="88"/>
      <c r="N11" s="77"/>
      <c r="O11" s="130"/>
    </row>
    <row r="12" spans="2:15" ht="15.75">
      <c r="B12" s="124"/>
      <c r="C12" s="75"/>
      <c r="D12" s="78" t="s">
        <v>25</v>
      </c>
      <c r="E12" s="79">
        <v>-63</v>
      </c>
      <c r="F12" s="80"/>
      <c r="G12" s="81">
        <v>14</v>
      </c>
      <c r="H12" s="80"/>
      <c r="I12" s="82">
        <v>460</v>
      </c>
      <c r="J12" s="78" t="s">
        <v>6</v>
      </c>
      <c r="K12" s="75"/>
      <c r="L12" s="77"/>
      <c r="M12" s="77"/>
      <c r="N12" s="77"/>
      <c r="O12" s="125"/>
    </row>
    <row r="13" spans="2:15" ht="78" customHeight="1">
      <c r="B13" s="124"/>
      <c r="C13" s="75"/>
      <c r="D13" s="89"/>
      <c r="E13" s="90"/>
      <c r="F13" s="90"/>
      <c r="G13" s="90"/>
      <c r="H13" s="90"/>
      <c r="I13" s="90"/>
      <c r="J13" s="90"/>
      <c r="K13" s="75"/>
      <c r="L13" s="77"/>
      <c r="M13" s="77"/>
      <c r="N13" s="77"/>
      <c r="O13" s="125"/>
    </row>
    <row r="14" spans="2:15" ht="15.75">
      <c r="B14" s="124"/>
      <c r="C14" s="75"/>
      <c r="D14" s="76" t="s">
        <v>24</v>
      </c>
      <c r="E14" s="91" t="s">
        <v>23</v>
      </c>
      <c r="F14" s="90"/>
      <c r="G14" s="92" t="s">
        <v>22</v>
      </c>
      <c r="H14" s="90"/>
      <c r="I14" s="93" t="s">
        <v>21</v>
      </c>
      <c r="J14" s="78"/>
      <c r="K14" s="75"/>
      <c r="L14" s="77"/>
      <c r="M14" s="77"/>
      <c r="N14" s="77"/>
      <c r="O14" s="125"/>
    </row>
    <row r="15" spans="2:15" ht="31.5">
      <c r="B15" s="124"/>
      <c r="C15" s="75"/>
      <c r="D15" s="78" t="s">
        <v>20</v>
      </c>
      <c r="E15" s="94">
        <v>0.53147072673049756</v>
      </c>
      <c r="F15" s="95"/>
      <c r="G15" s="96">
        <v>1</v>
      </c>
      <c r="H15" s="95"/>
      <c r="I15" s="97">
        <v>0.94992936744624079</v>
      </c>
      <c r="J15" s="87" t="s">
        <v>19</v>
      </c>
      <c r="K15" s="75"/>
      <c r="L15" s="77"/>
      <c r="M15" s="77"/>
      <c r="N15" s="77"/>
      <c r="O15" s="125"/>
    </row>
    <row r="16" spans="2:15" ht="15.75">
      <c r="B16" s="124"/>
      <c r="C16" s="75"/>
      <c r="D16" s="78"/>
      <c r="E16" s="98"/>
      <c r="F16" s="78"/>
      <c r="G16" s="99"/>
      <c r="H16" s="78"/>
      <c r="I16" s="100"/>
      <c r="J16" s="78"/>
      <c r="K16" s="75"/>
      <c r="L16" s="77"/>
      <c r="M16" s="77"/>
      <c r="N16" s="77"/>
      <c r="O16" s="125"/>
    </row>
    <row r="17" spans="2:15" ht="31.5">
      <c r="B17" s="124"/>
      <c r="C17" s="75"/>
      <c r="D17" s="78" t="s">
        <v>2</v>
      </c>
      <c r="E17" s="94">
        <v>0.107</v>
      </c>
      <c r="F17" s="95"/>
      <c r="G17" s="96">
        <v>1</v>
      </c>
      <c r="H17" s="95"/>
      <c r="I17" s="97">
        <v>0.81499999999999995</v>
      </c>
      <c r="J17" s="87" t="s">
        <v>18</v>
      </c>
      <c r="K17" s="75"/>
      <c r="L17" s="77"/>
      <c r="M17" s="77"/>
      <c r="N17" s="77"/>
      <c r="O17" s="125"/>
    </row>
    <row r="18" spans="2:15" ht="15.75">
      <c r="B18" s="124"/>
      <c r="C18" s="75"/>
      <c r="D18" s="78"/>
      <c r="E18" s="98"/>
      <c r="F18" s="78"/>
      <c r="G18" s="99"/>
      <c r="H18" s="78"/>
      <c r="I18" s="100"/>
      <c r="J18" s="78"/>
      <c r="K18" s="75"/>
      <c r="L18" s="77"/>
      <c r="M18" s="77"/>
      <c r="N18" s="77"/>
      <c r="O18" s="125"/>
    </row>
    <row r="19" spans="2:15" ht="31.5">
      <c r="B19" s="124"/>
      <c r="C19" s="75"/>
      <c r="D19" s="78" t="s">
        <v>17</v>
      </c>
      <c r="E19" s="94">
        <v>1.9081693588247424</v>
      </c>
      <c r="F19" s="95"/>
      <c r="G19" s="96">
        <v>1</v>
      </c>
      <c r="H19" s="95"/>
      <c r="I19" s="97">
        <v>0.61518624385344189</v>
      </c>
      <c r="J19" s="87" t="s">
        <v>16</v>
      </c>
      <c r="K19" s="75"/>
      <c r="L19" s="77"/>
      <c r="M19" s="77"/>
      <c r="N19" s="77"/>
      <c r="O19" s="125"/>
    </row>
    <row r="20" spans="2:15" ht="15.75">
      <c r="B20" s="124"/>
      <c r="C20" s="75"/>
      <c r="D20" s="78"/>
      <c r="E20" s="98"/>
      <c r="F20" s="78"/>
      <c r="G20" s="99"/>
      <c r="H20" s="78"/>
      <c r="I20" s="100"/>
      <c r="J20" s="78"/>
      <c r="K20" s="75"/>
      <c r="L20" s="77"/>
      <c r="M20" s="77"/>
      <c r="N20" s="77"/>
      <c r="O20" s="125"/>
    </row>
    <row r="21" spans="2:15" ht="15.75">
      <c r="B21" s="124"/>
      <c r="C21" s="75"/>
      <c r="D21" s="78" t="s">
        <v>15</v>
      </c>
      <c r="E21" s="94">
        <v>1.52</v>
      </c>
      <c r="F21" s="95"/>
      <c r="G21" s="96">
        <v>1</v>
      </c>
      <c r="H21" s="95"/>
      <c r="I21" s="97">
        <v>0.72</v>
      </c>
      <c r="J21" s="87" t="s">
        <v>3</v>
      </c>
      <c r="K21" s="75"/>
      <c r="L21" s="101" t="s">
        <v>14</v>
      </c>
      <c r="M21" s="77"/>
      <c r="N21" s="77"/>
      <c r="O21" s="125"/>
    </row>
    <row r="22" spans="2:15" ht="15.75">
      <c r="B22" s="124"/>
      <c r="C22" s="77"/>
      <c r="D22" s="77"/>
      <c r="E22" s="77"/>
      <c r="F22" s="77"/>
      <c r="G22" s="77"/>
      <c r="H22" s="77"/>
      <c r="I22" s="77"/>
      <c r="J22" s="77"/>
      <c r="K22" s="77"/>
      <c r="L22" s="101" t="s">
        <v>13</v>
      </c>
      <c r="M22" s="77"/>
      <c r="N22" s="77"/>
      <c r="O22" s="125"/>
    </row>
    <row r="23" spans="2:15" ht="15.75">
      <c r="B23" s="124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125"/>
    </row>
    <row r="24" spans="2:15" ht="15.75" thickBot="1">
      <c r="B24" s="126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8"/>
    </row>
    <row r="25" spans="2:15">
      <c r="K25"/>
      <c r="L25"/>
      <c r="M25"/>
    </row>
  </sheetData>
  <sheetProtection password="C4AC" sheet="1" objects="1" scenarios="1"/>
  <mergeCells count="1">
    <mergeCell ref="C3:F3"/>
  </mergeCells>
  <hyperlinks>
    <hyperlink ref="C3:F3" location="'Planet Finder'!A1" display="BACK"/>
  </hyperlinks>
  <pageMargins left="0.7" right="0.7" top="0.75" bottom="0.75" header="0.3" footer="0.3"/>
  <pageSetup orientation="portrait" horizontalDpi="200" verticalDpi="200" r:id="rId1"/>
  <drawing r:id="rId2"/>
  <picture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B2:I37"/>
  <sheetViews>
    <sheetView showGridLines="0" showRowColHeaders="0" workbookViewId="0">
      <selection activeCell="G13" sqref="G13"/>
    </sheetView>
  </sheetViews>
  <sheetFormatPr defaultRowHeight="15"/>
  <cols>
    <col min="1" max="1" width="5.85546875" customWidth="1"/>
    <col min="2" max="2" width="2.85546875" customWidth="1"/>
    <col min="3" max="3" width="24.42578125" bestFit="1" customWidth="1"/>
    <col min="4" max="4" width="14.5703125" bestFit="1" customWidth="1"/>
    <col min="5" max="5" width="15.42578125" bestFit="1" customWidth="1"/>
    <col min="6" max="6" width="23.28515625" bestFit="1" customWidth="1"/>
    <col min="7" max="7" width="14.5703125" bestFit="1" customWidth="1"/>
    <col min="8" max="8" width="4.5703125" bestFit="1" customWidth="1"/>
    <col min="9" max="9" width="2.7109375" customWidth="1"/>
  </cols>
  <sheetData>
    <row r="2" spans="2:9">
      <c r="B2" s="62"/>
      <c r="C2" s="63"/>
      <c r="D2" s="63"/>
      <c r="E2" s="63"/>
      <c r="F2" s="63"/>
      <c r="G2" s="63"/>
      <c r="H2" s="63"/>
      <c r="I2" s="64"/>
    </row>
    <row r="3" spans="2:9" ht="18">
      <c r="B3" s="65"/>
      <c r="C3" s="102" t="s">
        <v>51</v>
      </c>
      <c r="D3" s="103"/>
      <c r="E3" s="103"/>
      <c r="F3" s="103"/>
      <c r="G3" s="103"/>
      <c r="H3" s="103"/>
      <c r="I3" s="67"/>
    </row>
    <row r="4" spans="2:9" ht="18.75">
      <c r="B4" s="65"/>
      <c r="C4" s="103"/>
      <c r="D4" s="131" t="s">
        <v>149</v>
      </c>
      <c r="E4" s="103"/>
      <c r="F4" s="103"/>
      <c r="G4" s="103"/>
      <c r="H4" s="103"/>
      <c r="I4" s="67"/>
    </row>
    <row r="5" spans="2:9">
      <c r="B5" s="65"/>
      <c r="C5" s="6" t="s">
        <v>82</v>
      </c>
      <c r="D5" s="104">
        <f>14959787070000/100000</f>
        <v>149597870.69999999</v>
      </c>
      <c r="E5" s="105" t="s">
        <v>52</v>
      </c>
      <c r="F5" s="6" t="s">
        <v>11</v>
      </c>
      <c r="G5" s="8">
        <f>greenhouseConstant*greenhouse</f>
        <v>0.58409999999999995</v>
      </c>
      <c r="H5" s="105"/>
      <c r="I5" s="67"/>
    </row>
    <row r="6" spans="2:9" ht="15.75">
      <c r="B6" s="65"/>
      <c r="C6" s="6" t="s">
        <v>9</v>
      </c>
      <c r="D6" s="106">
        <v>5.6703999999999998E-5</v>
      </c>
      <c r="E6" s="105" t="s">
        <v>143</v>
      </c>
      <c r="F6" s="8"/>
      <c r="G6" s="8"/>
      <c r="H6" s="105"/>
      <c r="I6" s="67"/>
    </row>
    <row r="7" spans="2:9">
      <c r="B7" s="65"/>
      <c r="C7" s="104"/>
      <c r="D7" s="104"/>
      <c r="E7" s="105"/>
      <c r="F7" s="6" t="s">
        <v>12</v>
      </c>
      <c r="G7" s="106">
        <f>(1-albedo)*starLuminosity*wattsToErgsPerSecond/(16*PI()*stefanBoltzmanConstant)</f>
        <v>1.8677680781351448E+33</v>
      </c>
      <c r="H7" s="105"/>
      <c r="I7" s="67"/>
    </row>
    <row r="8" spans="2:9">
      <c r="B8" s="65"/>
      <c r="C8" s="6" t="s">
        <v>10</v>
      </c>
      <c r="D8" s="8">
        <v>0.58409999999999995</v>
      </c>
      <c r="E8" s="105"/>
      <c r="F8" s="8"/>
      <c r="G8" s="8"/>
      <c r="H8" s="105"/>
      <c r="I8" s="67"/>
    </row>
    <row r="9" spans="2:9" ht="15.75">
      <c r="B9" s="65"/>
      <c r="C9" s="6" t="s">
        <v>56</v>
      </c>
      <c r="D9" s="107">
        <f>6.673*10^(-20)</f>
        <v>6.6729999999999991E-20</v>
      </c>
      <c r="E9" s="105" t="s">
        <v>144</v>
      </c>
      <c r="F9" s="6" t="s">
        <v>57</v>
      </c>
      <c r="G9" s="108">
        <f>(term1^0.25)*(1/SQRT(planetStarDistanceInKm*100000))</f>
        <v>252.19978015377885</v>
      </c>
      <c r="H9" s="105" t="s">
        <v>5</v>
      </c>
      <c r="I9" s="67"/>
    </row>
    <row r="10" spans="2:9">
      <c r="B10" s="65"/>
      <c r="C10" s="6" t="s">
        <v>55</v>
      </c>
      <c r="D10" s="104">
        <f>earthSunDistanceInKm*planetStarDistanceInAU</f>
        <v>6794727.8568208246</v>
      </c>
      <c r="E10" s="105" t="s">
        <v>52</v>
      </c>
      <c r="F10" s="6" t="s">
        <v>58</v>
      </c>
      <c r="G10" s="109">
        <f>(Teff^4)*(1+(3*tau/4))</f>
        <v>5817820947.7418633</v>
      </c>
      <c r="H10" s="105" t="s">
        <v>5</v>
      </c>
      <c r="I10" s="67"/>
    </row>
    <row r="11" spans="2:9">
      <c r="B11" s="65"/>
      <c r="C11" s="105"/>
      <c r="D11" s="105"/>
      <c r="E11" s="105"/>
      <c r="F11" s="6" t="s">
        <v>59</v>
      </c>
      <c r="G11" s="109">
        <f>Teq/0.9</f>
        <v>6464245497.4909592</v>
      </c>
      <c r="H11" s="105" t="s">
        <v>5</v>
      </c>
      <c r="I11" s="67"/>
    </row>
    <row r="12" spans="2:9">
      <c r="B12" s="65"/>
      <c r="C12" s="105"/>
      <c r="D12" s="105"/>
      <c r="E12" s="105"/>
      <c r="F12" s="6"/>
      <c r="G12" s="109"/>
      <c r="H12" s="105"/>
      <c r="I12" s="67"/>
    </row>
    <row r="13" spans="2:9">
      <c r="B13" s="65"/>
      <c r="C13" s="6" t="s">
        <v>146</v>
      </c>
      <c r="D13" s="110">
        <f>starTemperature</f>
        <v>5778</v>
      </c>
      <c r="E13" s="105" t="s">
        <v>5</v>
      </c>
      <c r="F13" s="6" t="s">
        <v>145</v>
      </c>
      <c r="G13" s="111">
        <f>starLuminosity/sunLuminosity</f>
        <v>1.953125E-3</v>
      </c>
      <c r="H13" s="105"/>
      <c r="I13" s="67"/>
    </row>
    <row r="14" spans="2:9">
      <c r="B14" s="65"/>
      <c r="C14" s="105"/>
      <c r="D14" s="105"/>
      <c r="E14" s="105"/>
      <c r="F14" s="105"/>
      <c r="G14" s="105"/>
      <c r="H14" s="105"/>
      <c r="I14" s="67"/>
    </row>
    <row r="15" spans="2:9">
      <c r="B15" s="65"/>
      <c r="C15" s="6" t="s">
        <v>137</v>
      </c>
      <c r="D15" s="106">
        <f>sunLuminosity*starMassInSuns^3</f>
        <v>7.4980468749999995E+23</v>
      </c>
      <c r="E15" s="105" t="s">
        <v>139</v>
      </c>
      <c r="F15" s="6" t="s">
        <v>136</v>
      </c>
      <c r="G15" s="106">
        <v>3.8389999999999997E+26</v>
      </c>
      <c r="H15" s="105" t="s">
        <v>139</v>
      </c>
      <c r="I15" s="67"/>
    </row>
    <row r="16" spans="2:9">
      <c r="B16" s="65"/>
      <c r="C16" s="6" t="s">
        <v>76</v>
      </c>
      <c r="D16" s="104">
        <f>starRadiusInSuns*sunRadiusInKm</f>
        <v>347750</v>
      </c>
      <c r="E16" s="105" t="s">
        <v>52</v>
      </c>
      <c r="F16" s="6" t="s">
        <v>79</v>
      </c>
      <c r="G16" s="104">
        <f>695500</f>
        <v>695500</v>
      </c>
      <c r="H16" s="105" t="s">
        <v>52</v>
      </c>
      <c r="I16" s="67"/>
    </row>
    <row r="17" spans="2:9">
      <c r="B17" s="65"/>
      <c r="C17" s="6" t="s">
        <v>77</v>
      </c>
      <c r="D17" s="104" t="e">
        <f>planetRadiusInEarths*earthRadiusInKm</f>
        <v>#VALUE!</v>
      </c>
      <c r="E17" s="105" t="s">
        <v>52</v>
      </c>
      <c r="F17" s="6" t="s">
        <v>78</v>
      </c>
      <c r="G17" s="104">
        <f>6378.1</f>
        <v>6378.1</v>
      </c>
      <c r="H17" s="105" t="s">
        <v>52</v>
      </c>
      <c r="I17" s="67"/>
    </row>
    <row r="18" spans="2:9">
      <c r="B18" s="65"/>
      <c r="C18" s="6" t="s">
        <v>74</v>
      </c>
      <c r="D18" s="104" t="e">
        <f>starRadiusInKm/planetRadiusInKm</f>
        <v>#VALUE!</v>
      </c>
      <c r="E18" s="112"/>
      <c r="F18" s="6" t="s">
        <v>92</v>
      </c>
      <c r="G18" s="104">
        <f>sunRadiusInKm/earthRadiusInKm</f>
        <v>109.04501340524607</v>
      </c>
      <c r="H18" s="105"/>
      <c r="I18" s="67"/>
    </row>
    <row r="19" spans="2:9">
      <c r="B19" s="65"/>
      <c r="C19" s="6"/>
      <c r="D19" s="104"/>
      <c r="E19" s="105"/>
      <c r="F19" s="8"/>
      <c r="G19" s="8"/>
      <c r="H19" s="105"/>
      <c r="I19" s="67"/>
    </row>
    <row r="20" spans="2:9" ht="18.75">
      <c r="B20" s="65"/>
      <c r="C20" s="6" t="s">
        <v>83</v>
      </c>
      <c r="D20" s="113">
        <f>PI()*D16^2</f>
        <v>379912995948.15454</v>
      </c>
      <c r="E20" s="105" t="s">
        <v>141</v>
      </c>
      <c r="F20" s="6" t="s">
        <v>91</v>
      </c>
      <c r="G20" s="113">
        <f>PI()*sunRadiusInKm^2</f>
        <v>1519651983792.6182</v>
      </c>
      <c r="H20" s="105" t="s">
        <v>141</v>
      </c>
      <c r="I20" s="67"/>
    </row>
    <row r="21" spans="2:9" ht="18.75">
      <c r="B21" s="65"/>
      <c r="C21" s="6" t="s">
        <v>84</v>
      </c>
      <c r="D21" s="113" t="e">
        <f>PI()*D17^2</f>
        <v>#VALUE!</v>
      </c>
      <c r="E21" s="105" t="s">
        <v>141</v>
      </c>
      <c r="F21" s="6" t="s">
        <v>90</v>
      </c>
      <c r="G21" s="104">
        <f>PI()*earthRadiusInKm^2</f>
        <v>127800490.57763624</v>
      </c>
      <c r="H21" s="105" t="s">
        <v>141</v>
      </c>
      <c r="I21" s="67"/>
    </row>
    <row r="22" spans="2:9">
      <c r="B22" s="65"/>
      <c r="C22" s="6" t="s">
        <v>75</v>
      </c>
      <c r="D22" s="114" t="e">
        <f>starAreaInKm2/planetAreaInKm2</f>
        <v>#VALUE!</v>
      </c>
      <c r="E22" s="112"/>
      <c r="F22" s="6" t="s">
        <v>73</v>
      </c>
      <c r="G22" s="104">
        <f>sunAreaInKm2/earthAreaInKm2</f>
        <v>11890.814948550295</v>
      </c>
      <c r="H22" s="105"/>
      <c r="I22" s="67"/>
    </row>
    <row r="23" spans="2:9">
      <c r="B23" s="65"/>
      <c r="C23" s="6"/>
      <c r="D23" s="104"/>
      <c r="E23" s="105"/>
      <c r="F23" s="103"/>
      <c r="G23" s="103"/>
      <c r="H23" s="112"/>
      <c r="I23" s="67"/>
    </row>
    <row r="24" spans="2:9">
      <c r="B24" s="65"/>
      <c r="C24" s="6" t="s">
        <v>97</v>
      </c>
      <c r="D24" s="115">
        <f>starVolumeInKm3*sunDensityInGPerCc*gPerCm3TokgPerKm3</f>
        <v>2.4861500000000002E+29</v>
      </c>
      <c r="E24" s="105" t="s">
        <v>140</v>
      </c>
      <c r="F24" s="116" t="s">
        <v>80</v>
      </c>
      <c r="G24" s="115">
        <f>1.98892E+30</f>
        <v>1.9889199999999999E+30</v>
      </c>
      <c r="H24" s="105" t="s">
        <v>140</v>
      </c>
      <c r="I24" s="67"/>
    </row>
    <row r="25" spans="2:9">
      <c r="B25" s="65"/>
      <c r="C25" s="6" t="s">
        <v>98</v>
      </c>
      <c r="D25" s="115" t="e">
        <f>planetVolumeInKm3*earthDensityInGPerCc*gPerCm3TokgPerKm3</f>
        <v>#VALUE!</v>
      </c>
      <c r="E25" s="105" t="s">
        <v>140</v>
      </c>
      <c r="F25" s="6" t="s">
        <v>81</v>
      </c>
      <c r="G25" s="115">
        <f>5.9742E+24</f>
        <v>5.9742000000000003E+24</v>
      </c>
      <c r="H25" s="105" t="s">
        <v>140</v>
      </c>
      <c r="I25" s="67"/>
    </row>
    <row r="26" spans="2:9">
      <c r="B26" s="65"/>
      <c r="C26" s="6" t="s">
        <v>99</v>
      </c>
      <c r="D26" s="104" t="e">
        <f>starMassInKg/planetMassInKg</f>
        <v>#VALUE!</v>
      </c>
      <c r="E26" s="105"/>
      <c r="F26" s="6" t="s">
        <v>61</v>
      </c>
      <c r="G26" s="104">
        <f>sunMassInKg/earthMassInKg</f>
        <v>332918.21499112848</v>
      </c>
      <c r="H26" s="105"/>
      <c r="I26" s="67"/>
    </row>
    <row r="27" spans="2:9">
      <c r="B27" s="65"/>
      <c r="C27" s="6"/>
      <c r="D27" s="8"/>
      <c r="E27" s="105"/>
      <c r="F27" s="8"/>
      <c r="G27" s="8"/>
      <c r="H27" s="105"/>
      <c r="I27" s="67"/>
    </row>
    <row r="28" spans="2:9" ht="18.75">
      <c r="B28" s="65"/>
      <c r="C28" s="6" t="s">
        <v>100</v>
      </c>
      <c r="D28" s="115">
        <f>(4*PI()*(starRadiusInKm)^3)/3</f>
        <v>1.7615299245462765E+17</v>
      </c>
      <c r="E28" s="105" t="s">
        <v>142</v>
      </c>
      <c r="F28" s="6" t="s">
        <v>93</v>
      </c>
      <c r="G28" s="115">
        <f>(4*PI()*(sunRadiusInKm)^3)/3</f>
        <v>1.4092239396370212E+18</v>
      </c>
      <c r="H28" s="105" t="s">
        <v>142</v>
      </c>
      <c r="I28" s="67"/>
    </row>
    <row r="29" spans="2:9" ht="18.75">
      <c r="B29" s="65"/>
      <c r="C29" s="6" t="s">
        <v>101</v>
      </c>
      <c r="D29" s="115" t="e">
        <f>(4*PI()*(planetRadiusInKm)^3)/3</f>
        <v>#VALUE!</v>
      </c>
      <c r="E29" s="105" t="s">
        <v>142</v>
      </c>
      <c r="F29" s="6" t="s">
        <v>94</v>
      </c>
      <c r="G29" s="115">
        <f>(4*PI()*(earthRadiusInKm)^3)/3</f>
        <v>1086832411937.629</v>
      </c>
      <c r="H29" s="105" t="s">
        <v>142</v>
      </c>
      <c r="I29" s="67"/>
    </row>
    <row r="30" spans="2:9">
      <c r="B30" s="65"/>
      <c r="C30" s="6" t="s">
        <v>102</v>
      </c>
      <c r="D30" s="104" t="e">
        <f>D28/D29</f>
        <v>#VALUE!</v>
      </c>
      <c r="E30" s="105"/>
      <c r="F30" s="6" t="s">
        <v>64</v>
      </c>
      <c r="G30" s="104">
        <f>sunVolumeInKm3/earthVolumeInKm3</f>
        <v>1296634.0754639672</v>
      </c>
      <c r="H30" s="105"/>
      <c r="I30" s="67"/>
    </row>
    <row r="31" spans="2:9">
      <c r="B31" s="65"/>
      <c r="C31" s="8"/>
      <c r="D31" s="8"/>
      <c r="E31" s="105"/>
      <c r="F31" s="8"/>
      <c r="G31" s="8"/>
      <c r="H31" s="105"/>
      <c r="I31" s="67"/>
    </row>
    <row r="32" spans="2:9">
      <c r="B32" s="65"/>
      <c r="C32" s="6" t="s">
        <v>95</v>
      </c>
      <c r="D32" s="117">
        <v>1.4113583682890694</v>
      </c>
      <c r="E32" s="105" t="s">
        <v>54</v>
      </c>
      <c r="F32" s="6" t="s">
        <v>62</v>
      </c>
      <c r="G32" s="109">
        <f>10^12</f>
        <v>1000000000000</v>
      </c>
      <c r="H32" s="105"/>
      <c r="I32" s="67"/>
    </row>
    <row r="33" spans="2:9">
      <c r="B33" s="65"/>
      <c r="C33" s="6" t="s">
        <v>96</v>
      </c>
      <c r="D33" s="117">
        <f>earthMassInKg/earthVolumeInKm3*kgPerKm3TogPerCm3</f>
        <v>5.4968916406799675</v>
      </c>
      <c r="E33" s="105" t="s">
        <v>54</v>
      </c>
      <c r="F33" s="6" t="s">
        <v>63</v>
      </c>
      <c r="G33" s="109">
        <f>1/gPerCm3TokgPerKm3</f>
        <v>9.9999999999999998E-13</v>
      </c>
      <c r="H33" s="105"/>
      <c r="I33" s="67"/>
    </row>
    <row r="34" spans="2:9">
      <c r="B34" s="65"/>
      <c r="C34" s="6" t="s">
        <v>65</v>
      </c>
      <c r="D34" s="117">
        <f>sunDensityInGPerCc/earthDensityInGPerCc</f>
        <v>0.25675571951323456</v>
      </c>
      <c r="E34" s="105"/>
      <c r="F34" s="6" t="s">
        <v>67</v>
      </c>
      <c r="G34" s="109">
        <f>24*3600</f>
        <v>86400</v>
      </c>
      <c r="H34" s="105"/>
      <c r="I34" s="67"/>
    </row>
    <row r="35" spans="2:9">
      <c r="B35" s="65"/>
      <c r="C35" s="104"/>
      <c r="D35" s="104"/>
      <c r="E35" s="104"/>
      <c r="F35" s="6" t="s">
        <v>66</v>
      </c>
      <c r="G35" s="109">
        <f>1/daysToSeconds</f>
        <v>1.1574074074074073E-5</v>
      </c>
      <c r="H35" s="105"/>
      <c r="I35" s="67"/>
    </row>
    <row r="36" spans="2:9">
      <c r="B36" s="65"/>
      <c r="C36" s="104"/>
      <c r="D36" s="104"/>
      <c r="E36" s="104"/>
      <c r="F36" s="6" t="s">
        <v>138</v>
      </c>
      <c r="G36" s="104">
        <v>10000000</v>
      </c>
      <c r="H36" s="105"/>
      <c r="I36" s="67"/>
    </row>
    <row r="37" spans="2:9">
      <c r="B37" s="72"/>
      <c r="C37" s="73"/>
      <c r="D37" s="73"/>
      <c r="E37" s="73"/>
      <c r="F37" s="73"/>
      <c r="G37" s="73"/>
      <c r="H37" s="73"/>
      <c r="I37" s="74"/>
    </row>
  </sheetData>
  <sheetProtection password="C4AC" sheet="1" objects="1" scenarios="1"/>
  <hyperlinks>
    <hyperlink ref="C3" location="'Planet Finder'!A1" display="BACK"/>
  </hyperlinks>
  <pageMargins left="0.7" right="0.7" top="0.75" bottom="0.75" header="0.3" footer="0.3"/>
  <pageSetup orientation="portrait" horizontalDpi="200" verticalDpi="200" r:id="rId1"/>
  <picture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2:I18"/>
  <sheetViews>
    <sheetView showGridLines="0" showRowColHeaders="0" workbookViewId="0">
      <selection activeCell="B2" sqref="B2"/>
    </sheetView>
  </sheetViews>
  <sheetFormatPr defaultRowHeight="15"/>
  <sheetData>
    <row r="2" spans="2:2" ht="18.75">
      <c r="B2" s="32" t="s">
        <v>51</v>
      </c>
    </row>
    <row r="18" spans="9:9">
      <c r="I18" s="57" t="s">
        <v>129</v>
      </c>
    </row>
  </sheetData>
  <sheetProtection password="C4AC" sheet="1" objects="1" scenarios="1"/>
  <hyperlinks>
    <hyperlink ref="I18" r:id="rId1"/>
    <hyperlink ref="B2" location="'Planet Finder'!A1" display="BACK"/>
  </hyperlinks>
  <pageMargins left="0.7" right="0.7" top="0.75" bottom="0.75" header="0.3" footer="0.3"/>
  <picture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0"/>
  <sheetViews>
    <sheetView showGridLines="0" showRowColHeaders="0" workbookViewId="0">
      <selection activeCell="K22" sqref="K22"/>
    </sheetView>
  </sheetViews>
  <sheetFormatPr defaultRowHeight="15"/>
  <cols>
    <col min="7" max="7" width="4.42578125" customWidth="1"/>
  </cols>
  <sheetData>
    <row r="1" spans="1:1" ht="18.75">
      <c r="A1" s="32" t="s">
        <v>51</v>
      </c>
    </row>
    <row r="18" spans="5:7">
      <c r="E18" s="60" t="s">
        <v>148</v>
      </c>
      <c r="F18" s="61">
        <f>relativeLuminosity</f>
        <v>1.953125E-3</v>
      </c>
    </row>
    <row r="19" spans="5:7">
      <c r="E19" s="60" t="s">
        <v>25</v>
      </c>
      <c r="F19" s="59">
        <f>starTemperature</f>
        <v>5778</v>
      </c>
      <c r="G19" s="58" t="s">
        <v>5</v>
      </c>
    </row>
    <row r="20" spans="5:7">
      <c r="E20" s="60"/>
    </row>
  </sheetData>
  <sheetProtection password="C4AC" sheet="1" objects="1" scenarios="1"/>
  <hyperlinks>
    <hyperlink ref="A1" location="'Planet Finder'!A1" display="BACK"/>
  </hyperlinks>
  <pageMargins left="0.7" right="0.7" top="0.75" bottom="0.75" header="0.3" footer="0.3"/>
  <picture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G30"/>
  <sheetViews>
    <sheetView showGridLines="0" showRowColHeaders="0" workbookViewId="0"/>
  </sheetViews>
  <sheetFormatPr defaultRowHeight="15"/>
  <cols>
    <col min="2" max="2" width="2.5703125" customWidth="1"/>
    <col min="3" max="3" width="5.42578125" customWidth="1"/>
    <col min="4" max="4" width="20.140625" customWidth="1"/>
    <col min="5" max="5" width="18.28515625" bestFit="1" customWidth="1"/>
    <col min="6" max="6" width="28.42578125" customWidth="1"/>
    <col min="7" max="7" width="2.42578125" customWidth="1"/>
  </cols>
  <sheetData>
    <row r="1" spans="2:7" ht="15.75" thickBot="1"/>
    <row r="2" spans="2:7">
      <c r="B2" s="121"/>
      <c r="C2" s="122"/>
      <c r="D2" s="122"/>
      <c r="E2" s="122"/>
      <c r="F2" s="122"/>
      <c r="G2" s="123"/>
    </row>
    <row r="3" spans="2:7" ht="18.75">
      <c r="B3" s="124"/>
      <c r="C3" s="136" t="s">
        <v>51</v>
      </c>
      <c r="D3" s="136"/>
      <c r="E3" s="136"/>
      <c r="F3" s="136"/>
      <c r="G3" s="125"/>
    </row>
    <row r="4" spans="2:7">
      <c r="B4" s="124"/>
      <c r="C4" s="133"/>
      <c r="D4" s="133"/>
      <c r="E4" s="133"/>
      <c r="F4" s="133"/>
      <c r="G4" s="125"/>
    </row>
    <row r="5" spans="2:7">
      <c r="B5" s="124"/>
      <c r="C5" s="133" t="s">
        <v>105</v>
      </c>
      <c r="D5" s="133"/>
      <c r="E5" s="133"/>
      <c r="F5" s="133"/>
      <c r="G5" s="125"/>
    </row>
    <row r="6" spans="2:7">
      <c r="B6" s="124"/>
      <c r="C6" s="133"/>
      <c r="D6" s="133"/>
      <c r="E6" s="133"/>
      <c r="F6" s="133"/>
      <c r="G6" s="125"/>
    </row>
    <row r="7" spans="2:7">
      <c r="B7" s="124"/>
      <c r="C7" s="133" t="s">
        <v>106</v>
      </c>
      <c r="D7" s="133"/>
      <c r="E7" s="133"/>
      <c r="F7" s="133"/>
      <c r="G7" s="125"/>
    </row>
    <row r="8" spans="2:7">
      <c r="B8" s="124"/>
      <c r="C8" s="133"/>
      <c r="D8" s="134" t="s">
        <v>108</v>
      </c>
      <c r="E8" s="135" t="s">
        <v>124</v>
      </c>
      <c r="F8" s="133"/>
      <c r="G8" s="125"/>
    </row>
    <row r="9" spans="2:7">
      <c r="B9" s="124"/>
      <c r="C9" s="133"/>
      <c r="D9" s="135" t="s">
        <v>107</v>
      </c>
      <c r="E9" s="133"/>
      <c r="F9" s="133"/>
      <c r="G9" s="125"/>
    </row>
    <row r="10" spans="2:7">
      <c r="B10" s="124"/>
      <c r="C10" s="133"/>
      <c r="D10" s="133"/>
      <c r="E10" s="133"/>
      <c r="F10" s="133"/>
      <c r="G10" s="125"/>
    </row>
    <row r="11" spans="2:7">
      <c r="B11" s="124"/>
      <c r="C11" s="133" t="s">
        <v>123</v>
      </c>
      <c r="D11" s="133"/>
      <c r="E11" s="133"/>
      <c r="F11" s="133"/>
      <c r="G11" s="125"/>
    </row>
    <row r="12" spans="2:7">
      <c r="B12" s="124"/>
      <c r="C12" s="133"/>
      <c r="D12" s="133" t="s">
        <v>109</v>
      </c>
      <c r="E12" s="133"/>
      <c r="F12" s="133"/>
      <c r="G12" s="125"/>
    </row>
    <row r="13" spans="2:7">
      <c r="B13" s="124"/>
      <c r="C13" s="133"/>
      <c r="D13" s="133" t="s">
        <v>110</v>
      </c>
      <c r="E13" s="133"/>
      <c r="F13" s="133"/>
      <c r="G13" s="125"/>
    </row>
    <row r="14" spans="2:7">
      <c r="B14" s="124"/>
      <c r="C14" s="133"/>
      <c r="D14" s="133" t="s">
        <v>111</v>
      </c>
      <c r="E14" s="133"/>
      <c r="F14" s="133"/>
      <c r="G14" s="125"/>
    </row>
    <row r="15" spans="2:7">
      <c r="B15" s="124"/>
      <c r="C15" s="133"/>
      <c r="D15" s="133" t="s">
        <v>112</v>
      </c>
      <c r="E15" s="133"/>
      <c r="F15" s="133"/>
      <c r="G15" s="125"/>
    </row>
    <row r="16" spans="2:7">
      <c r="B16" s="124"/>
      <c r="C16" s="133"/>
      <c r="D16" s="133" t="s">
        <v>113</v>
      </c>
      <c r="E16" s="133"/>
      <c r="F16" s="133"/>
      <c r="G16" s="125"/>
    </row>
    <row r="17" spans="2:7">
      <c r="B17" s="124"/>
      <c r="C17" s="133"/>
      <c r="D17" s="133" t="s">
        <v>114</v>
      </c>
      <c r="E17" s="133"/>
      <c r="F17" s="133"/>
      <c r="G17" s="125"/>
    </row>
    <row r="18" spans="2:7">
      <c r="B18" s="124"/>
      <c r="C18" s="133"/>
      <c r="D18" s="133" t="s">
        <v>115</v>
      </c>
      <c r="E18" s="133"/>
      <c r="F18" s="133"/>
      <c r="G18" s="125"/>
    </row>
    <row r="19" spans="2:7">
      <c r="B19" s="124"/>
      <c r="C19" s="133"/>
      <c r="D19" s="133" t="s">
        <v>116</v>
      </c>
      <c r="E19" s="133"/>
      <c r="F19" s="133"/>
      <c r="G19" s="125"/>
    </row>
    <row r="20" spans="2:7">
      <c r="B20" s="124"/>
      <c r="C20" s="133"/>
      <c r="D20" s="133" t="s">
        <v>117</v>
      </c>
      <c r="E20" s="133"/>
      <c r="F20" s="133"/>
      <c r="G20" s="125"/>
    </row>
    <row r="21" spans="2:7">
      <c r="B21" s="124"/>
      <c r="C21" s="133"/>
      <c r="D21" s="133" t="s">
        <v>118</v>
      </c>
      <c r="E21" s="133"/>
      <c r="F21" s="133"/>
      <c r="G21" s="125"/>
    </row>
    <row r="22" spans="2:7">
      <c r="B22" s="124"/>
      <c r="C22" s="133"/>
      <c r="D22" s="133" t="s">
        <v>119</v>
      </c>
      <c r="E22" s="133"/>
      <c r="F22" s="133"/>
      <c r="G22" s="125"/>
    </row>
    <row r="23" spans="2:7">
      <c r="B23" s="124"/>
      <c r="C23" s="133"/>
      <c r="D23" s="133" t="s">
        <v>120</v>
      </c>
      <c r="E23" s="133"/>
      <c r="F23" s="133"/>
      <c r="G23" s="125"/>
    </row>
    <row r="24" spans="2:7">
      <c r="B24" s="124"/>
      <c r="C24" s="133"/>
      <c r="D24" s="133" t="s">
        <v>121</v>
      </c>
      <c r="E24" s="133"/>
      <c r="F24" s="133"/>
      <c r="G24" s="125"/>
    </row>
    <row r="25" spans="2:7">
      <c r="B25" s="124"/>
      <c r="C25" s="133"/>
      <c r="D25" s="133" t="s">
        <v>122</v>
      </c>
      <c r="E25" s="133"/>
      <c r="F25" s="133"/>
      <c r="G25" s="125"/>
    </row>
    <row r="26" spans="2:7">
      <c r="B26" s="124"/>
      <c r="C26" s="133"/>
      <c r="D26" s="133"/>
      <c r="E26" s="133"/>
      <c r="F26" s="133"/>
      <c r="G26" s="125"/>
    </row>
    <row r="27" spans="2:7">
      <c r="B27" s="124"/>
      <c r="C27" s="133"/>
      <c r="D27" s="133"/>
      <c r="E27" s="133"/>
      <c r="F27" s="133"/>
      <c r="G27" s="125"/>
    </row>
    <row r="28" spans="2:7">
      <c r="B28" s="124"/>
      <c r="C28" s="133"/>
      <c r="D28" s="133"/>
      <c r="E28" s="133"/>
      <c r="F28" s="133"/>
      <c r="G28" s="125"/>
    </row>
    <row r="29" spans="2:7">
      <c r="B29" s="124"/>
      <c r="C29" s="133"/>
      <c r="D29" s="133"/>
      <c r="E29" s="133"/>
      <c r="F29" s="133"/>
      <c r="G29" s="125"/>
    </row>
    <row r="30" spans="2:7" ht="15.75" thickBot="1">
      <c r="B30" s="126"/>
      <c r="C30" s="127"/>
      <c r="D30" s="127"/>
      <c r="E30" s="127"/>
      <c r="F30" s="127"/>
      <c r="G30" s="128"/>
    </row>
  </sheetData>
  <sheetProtection password="C4AC" sheet="1" objects="1" scenarios="1"/>
  <hyperlinks>
    <hyperlink ref="C3:F3" location="'Planet Finder'!A1" display="BACK"/>
    <hyperlink ref="D8" r:id="rId1"/>
  </hyperlinks>
  <pageMargins left="0.7" right="0.7" top="0.75" bottom="0.75" header="0.3" footer="0.3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57</vt:i4>
      </vt:variant>
    </vt:vector>
  </HeadingPairs>
  <TitlesOfParts>
    <vt:vector size="64" baseType="lpstr">
      <vt:lpstr>Planet Finder</vt:lpstr>
      <vt:lpstr>Reference Temperatures</vt:lpstr>
      <vt:lpstr>Near-Earth Planet Statistics</vt:lpstr>
      <vt:lpstr>Calculations</vt:lpstr>
      <vt:lpstr>Star Sizes</vt:lpstr>
      <vt:lpstr>Hertzsprung-Russell</vt:lpstr>
      <vt:lpstr>About</vt:lpstr>
      <vt:lpstr>activationID</vt:lpstr>
      <vt:lpstr>albedo</vt:lpstr>
      <vt:lpstr>daysToSeconds</vt:lpstr>
      <vt:lpstr>dimming</vt:lpstr>
      <vt:lpstr>earthAreaInKm2</vt:lpstr>
      <vt:lpstr>earthDensityInGPerCc</vt:lpstr>
      <vt:lpstr>earthMassInKg</vt:lpstr>
      <vt:lpstr>earthRadiusInKm</vt:lpstr>
      <vt:lpstr>earthSunDistanceInKm</vt:lpstr>
      <vt:lpstr>earthVolumeInKm3</vt:lpstr>
      <vt:lpstr>G</vt:lpstr>
      <vt:lpstr>gPerCm3TokgPerKm3</vt:lpstr>
      <vt:lpstr>gravitationalConstant</vt:lpstr>
      <vt:lpstr>greenhouse</vt:lpstr>
      <vt:lpstr>greenhouseConstant</vt:lpstr>
      <vt:lpstr>isActivated</vt:lpstr>
      <vt:lpstr>kgPerKm3TogPerCm3</vt:lpstr>
      <vt:lpstr>OrbitalPeriodInDays</vt:lpstr>
      <vt:lpstr>planetAreaInKm2</vt:lpstr>
      <vt:lpstr>planetMassInKg</vt:lpstr>
      <vt:lpstr>planetRadiusInEarths</vt:lpstr>
      <vt:lpstr>planetRadiusInKm</vt:lpstr>
      <vt:lpstr>planetStarDistanceInAU</vt:lpstr>
      <vt:lpstr>planetStarDistanceInKm</vt:lpstr>
      <vt:lpstr>planetVolumeInKm3</vt:lpstr>
      <vt:lpstr>relativeLuminosity</vt:lpstr>
      <vt:lpstr>secondsToDays</vt:lpstr>
      <vt:lpstr>starAreaInKm2</vt:lpstr>
      <vt:lpstr>starLuminosity</vt:lpstr>
      <vt:lpstr>starMassInKg</vt:lpstr>
      <vt:lpstr>starMassInSuns</vt:lpstr>
      <vt:lpstr>starOverPlanetArea</vt:lpstr>
      <vt:lpstr>starOverPlanetRadius</vt:lpstr>
      <vt:lpstr>starOverPlanetVolume</vt:lpstr>
      <vt:lpstr>starRadiusInKm</vt:lpstr>
      <vt:lpstr>starRadiusInSuns</vt:lpstr>
      <vt:lpstr>starTemperature</vt:lpstr>
      <vt:lpstr>starVolumeInKm3</vt:lpstr>
      <vt:lpstr>stefanBoltzmanConstant</vt:lpstr>
      <vt:lpstr>sunAreaInKm2</vt:lpstr>
      <vt:lpstr>sunDensityInGPerCc</vt:lpstr>
      <vt:lpstr>sunLuminosity</vt:lpstr>
      <vt:lpstr>sunMassInKg</vt:lpstr>
      <vt:lpstr>sunOverEarthArea</vt:lpstr>
      <vt:lpstr>sunOverEarthDensity</vt:lpstr>
      <vt:lpstr>sunOverEarthMass</vt:lpstr>
      <vt:lpstr>sunOverEarthRadius</vt:lpstr>
      <vt:lpstr>sunOverEarthVolume</vt:lpstr>
      <vt:lpstr>sunRadiusInKm</vt:lpstr>
      <vt:lpstr>sunVolumeInKm3</vt:lpstr>
      <vt:lpstr>tau</vt:lpstr>
      <vt:lpstr>Teff</vt:lpstr>
      <vt:lpstr>Teq</vt:lpstr>
      <vt:lpstr>term1</vt:lpstr>
      <vt:lpstr>Tsur</vt:lpstr>
      <vt:lpstr>username</vt:lpstr>
      <vt:lpstr>wattsToErgsPerSecond</vt:lpstr>
    </vt:vector>
  </TitlesOfParts>
  <Company>WDV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Van Warren</dc:creator>
  <cp:lastModifiedBy>L. Van Warren</cp:lastModifiedBy>
  <dcterms:created xsi:type="dcterms:W3CDTF">2010-12-31T23:11:13Z</dcterms:created>
  <dcterms:modified xsi:type="dcterms:W3CDTF">2011-01-06T17:03:11Z</dcterms:modified>
</cp:coreProperties>
</file>